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jdosova\Desktop\"/>
    </mc:Choice>
  </mc:AlternateContent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-120" yWindow="-120" windowWidth="29040" windowHeight="15840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H24" i="1"/>
  <c r="F24" i="1"/>
  <c r="K36" i="1"/>
  <c r="K35" i="1"/>
  <c r="Q19" i="1"/>
  <c r="L24" i="1" l="1"/>
  <c r="K24" i="1"/>
  <c r="J24" i="1" l="1"/>
  <c r="A2" i="2" l="1"/>
  <c r="A4" i="2"/>
  <c r="T18" i="1" l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J18" i="1"/>
  <c r="K39" i="1"/>
  <c r="K40" i="1" s="1"/>
  <c r="K37" i="1"/>
  <c r="N19" i="1"/>
  <c r="K38" i="1"/>
  <c r="S24" i="1"/>
  <c r="H19" i="1"/>
  <c r="F19" i="1"/>
  <c r="N18" i="1"/>
  <c r="H18" i="1"/>
  <c r="F18" i="1"/>
  <c r="I21" i="1" l="1"/>
  <c r="I26" i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<sst xmlns="http://schemas.openxmlformats.org/spreadsheetml/2006/main" count="97" uniqueCount="78">
  <si>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</si>
  <si>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</si>
  <si>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</si>
  <si>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</si>
  <si>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</si>
  <si>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</si>
  <si>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</si>
  <si>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</si>
  <si>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</si>
  <si>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</si>
  <si>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</si>
  <si>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</si>
  <si>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</si>
  <si>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</si>
  <si>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</si>
  <si>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</si>
  <si>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</si>
  <si>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</si>
  <si>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</si>
  <si>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</si>
  <si>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</si>
  <si>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</si>
  <si>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</si>
  <si>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</si>
  <si>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</si>
  <si>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</si>
  <si>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</si>
  <si>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</si>
  <si>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</si>
  <si>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</si>
  <si>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</si>
  <si>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</si>
  <si>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</si>
  <si>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</si>
  <si>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</si>
  <si>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</si>
  <si>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</si>
  <si>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</si>
  <si>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</si>
  <si>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</si>
  <si>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</si>
  <si>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</si>
  <si>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</si>
  <si>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</si>
  <si>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</si>
  <si>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</si>
  <si>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</si>
  <si>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</si>
  <si>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</si>
  <si>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</si>
  <si>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</si>
  <si>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</si>
  <si>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</si>
  <si>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</si>
  <si>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</si>
  <si>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</si>
  <si>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</si>
  <si>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</si>
  <si>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</si>
  <si>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</si>
  <si>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</si>
  <si>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</si>
  <si>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</si>
  <si>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</si>
  <si>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</si>
  <si>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22 000 €/ks</t>
  </si>
  <si>
    <t>2 000 €/byt</t>
  </si>
  <si>
    <t>75 % z ON</t>
  </si>
  <si>
    <t>90 % z ON</t>
  </si>
  <si>
    <t>75 % z ON (1ks)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</si>
  <si>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</si>
  <si>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</si>
  <si>
    <t>1 500 €/byt</t>
  </si>
  <si>
    <t>2 200 €/byt</t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</si>
  <si>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2024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</si>
  <si>
    <t>Pomôcka pre určenie výšky dotácie z Ministerstva dopravy SR a úveru zo Štátneho fondu rozvoja bývania na obstaranie technickej vybavenosti</t>
  </si>
  <si>
    <r>
      <t>Požadovaná výška dotácie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 ako maximálna možná dotácia)</t>
    </r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</si>
  <si>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 ako maximálny možný 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</si>
</sst>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 applyProtection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30" fillId="0" borderId="31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6" xfId="0" applyBorder="1" applyProtection="1"/>
    <xf numFmtId="164" fontId="0" fillId="10" borderId="39" xfId="0" applyNumberFormat="1" applyFont="1" applyFill="1" applyBorder="1" applyAlignment="1" applyProtection="1">
      <alignment horizontal="center" vertical="center"/>
      <protection locked="0"/>
    </xf>
    <xf numFmtId="164" fontId="0" fillId="1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</xf>
    <xf numFmtId="0" fontId="22" fillId="0" borderId="0" xfId="0" applyFont="1" applyProtection="1"/>
    <xf numFmtId="0" fontId="6" fillId="0" borderId="0" xfId="0" applyFont="1" applyProtection="1"/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</xf>
    <xf numFmtId="49" fontId="4" fillId="2" borderId="45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0" fillId="2" borderId="45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36" fillId="3" borderId="36" xfId="0" applyFont="1" applyFill="1" applyBorder="1" applyAlignment="1" applyProtection="1">
      <alignment horizontal="left" vertical="center" wrapText="1"/>
    </xf>
    <xf numFmtId="0" fontId="36" fillId="3" borderId="29" xfId="0" applyFont="1" applyFill="1" applyBorder="1" applyAlignment="1" applyProtection="1">
      <alignment horizontal="left" vertical="center" wrapText="1"/>
    </xf>
    <xf numFmtId="164" fontId="23" fillId="0" borderId="29" xfId="0" applyNumberFormat="1" applyFont="1" applyFill="1" applyBorder="1" applyAlignment="1" applyProtection="1">
      <alignment horizontal="center" vertical="center"/>
    </xf>
    <xf numFmtId="164" fontId="23" fillId="0" borderId="22" xfId="0" applyNumberFormat="1" applyFont="1" applyFill="1" applyBorder="1" applyAlignment="1" applyProtection="1">
      <alignment horizontal="center" vertical="center"/>
    </xf>
    <xf numFmtId="164" fontId="23" fillId="0" borderId="19" xfId="0" applyNumberFormat="1" applyFont="1" applyFill="1" applyBorder="1" applyAlignment="1" applyProtection="1">
      <alignment horizontal="center" vertical="center"/>
    </xf>
    <xf numFmtId="164" fontId="23" fillId="0" borderId="21" xfId="0" applyNumberFormat="1" applyFont="1" applyFill="1" applyBorder="1" applyAlignment="1" applyProtection="1">
      <alignment horizontal="center" vertical="center"/>
    </xf>
    <xf numFmtId="164" fontId="23" fillId="0" borderId="37" xfId="0" applyNumberFormat="1" applyFont="1" applyFill="1" applyBorder="1" applyAlignment="1" applyProtection="1">
      <alignment horizontal="center" vertical="center"/>
    </xf>
    <xf numFmtId="49" fontId="24" fillId="5" borderId="47" xfId="0" applyNumberFormat="1" applyFont="1" applyFill="1" applyBorder="1" applyAlignment="1" applyProtection="1">
      <alignment horizontal="left" vertical="center" wrapText="1"/>
    </xf>
    <xf numFmtId="49" fontId="24" fillId="5" borderId="45" xfId="0" applyNumberFormat="1" applyFont="1" applyFill="1" applyBorder="1" applyAlignment="1" applyProtection="1">
      <alignment horizontal="left" vertical="center" wrapText="1"/>
    </xf>
    <xf numFmtId="49" fontId="24" fillId="5" borderId="11" xfId="0" applyNumberFormat="1" applyFont="1" applyFill="1" applyBorder="1" applyAlignment="1" applyProtection="1">
      <alignment horizontal="left" vertical="center" wrapText="1"/>
    </xf>
    <xf numFmtId="49" fontId="24" fillId="5" borderId="12" xfId="0" applyNumberFormat="1" applyFont="1" applyFill="1" applyBorder="1" applyAlignment="1" applyProtection="1">
      <alignment horizontal="left" vertical="center" wrapText="1"/>
    </xf>
    <xf numFmtId="49" fontId="22" fillId="5" borderId="45" xfId="0" applyNumberFormat="1" applyFont="1" applyFill="1" applyBorder="1" applyAlignment="1" applyProtection="1">
      <alignment horizontal="left" vertical="center" wrapText="1"/>
    </xf>
    <xf numFmtId="49" fontId="22" fillId="5" borderId="28" xfId="0" applyNumberFormat="1" applyFont="1" applyFill="1" applyBorder="1" applyAlignment="1" applyProtection="1">
      <alignment horizontal="left" vertical="center" wrapText="1"/>
    </xf>
    <xf numFmtId="164" fontId="22" fillId="5" borderId="29" xfId="0" applyNumberFormat="1" applyFont="1" applyFill="1" applyBorder="1" applyAlignment="1" applyProtection="1">
      <alignment horizontal="center" vertical="center" wrapText="1"/>
    </xf>
    <xf numFmtId="164" fontId="22" fillId="5" borderId="22" xfId="0" applyNumberFormat="1" applyFont="1" applyFill="1" applyBorder="1" applyAlignment="1" applyProtection="1">
      <alignment horizontal="center" vertical="center" wrapText="1"/>
    </xf>
    <xf numFmtId="164" fontId="22" fillId="5" borderId="37" xfId="0" applyNumberFormat="1" applyFont="1" applyFill="1" applyBorder="1" applyAlignment="1" applyProtection="1">
      <alignment horizontal="center" vertical="center" wrapText="1"/>
    </xf>
    <xf numFmtId="49" fontId="23" fillId="5" borderId="0" xfId="0" applyNumberFormat="1" applyFont="1" applyFill="1" applyBorder="1" applyAlignment="1" applyProtection="1">
      <alignment horizontal="left" vertical="center" wrapText="1"/>
    </xf>
    <xf numFmtId="49" fontId="23" fillId="5" borderId="55" xfId="0" applyNumberFormat="1" applyFont="1" applyFill="1" applyBorder="1" applyAlignment="1" applyProtection="1">
      <alignment horizontal="left" vertical="center" wrapText="1"/>
    </xf>
    <xf numFmtId="164" fontId="24" fillId="5" borderId="29" xfId="0" applyNumberFormat="1" applyFont="1" applyFill="1" applyBorder="1" applyAlignment="1" applyProtection="1">
      <alignment horizontal="center" vertical="center" wrapText="1"/>
    </xf>
    <xf numFmtId="164" fontId="24" fillId="5" borderId="22" xfId="0" applyNumberFormat="1" applyFont="1" applyFill="1" applyBorder="1" applyAlignment="1" applyProtection="1">
      <alignment horizontal="center" vertical="center" wrapText="1"/>
    </xf>
    <xf numFmtId="164" fontId="24" fillId="5" borderId="37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164" fontId="0" fillId="0" borderId="34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6" borderId="12" xfId="0" applyNumberFormat="1" applyFont="1" applyFill="1" applyBorder="1" applyAlignment="1" applyProtection="1">
      <alignment horizontal="left" vertical="center" wrapText="1"/>
    </xf>
    <xf numFmtId="49" fontId="33" fillId="3" borderId="47" xfId="0" applyNumberFormat="1" applyFont="1" applyFill="1" applyBorder="1" applyAlignment="1" applyProtection="1">
      <alignment horizontal="left" vertical="center" wrapText="1"/>
    </xf>
    <xf numFmtId="49" fontId="33" fillId="3" borderId="45" xfId="0" applyNumberFormat="1" applyFont="1" applyFill="1" applyBorder="1" applyAlignment="1" applyProtection="1">
      <alignment horizontal="left" vertical="center" wrapText="1"/>
    </xf>
    <xf numFmtId="49" fontId="33" fillId="3" borderId="11" xfId="0" applyNumberFormat="1" applyFont="1" applyFill="1" applyBorder="1" applyAlignment="1" applyProtection="1">
      <alignment horizontal="left" vertical="center" wrapText="1"/>
    </xf>
    <xf numFmtId="49" fontId="33" fillId="3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6" fillId="3" borderId="45" xfId="0" applyNumberFormat="1" applyFont="1" applyFill="1" applyBorder="1" applyAlignment="1" applyProtection="1">
      <alignment horizontal="left" vertical="center" wrapText="1"/>
    </xf>
    <xf numFmtId="49" fontId="6" fillId="3" borderId="28" xfId="0" applyNumberFormat="1" applyFont="1" applyFill="1" applyBorder="1" applyAlignment="1" applyProtection="1">
      <alignment horizontal="left" vertical="center" wrapText="1"/>
    </xf>
    <xf numFmtId="49" fontId="5" fillId="3" borderId="0" xfId="0" applyNumberFormat="1" applyFont="1" applyFill="1" applyBorder="1" applyAlignment="1" applyProtection="1">
      <alignment horizontal="left" vertical="center" wrapText="1"/>
    </xf>
    <xf numFmtId="49" fontId="5" fillId="3" borderId="55" xfId="0" applyNumberFormat="1" applyFont="1" applyFill="1" applyBorder="1" applyAlignment="1" applyProtection="1">
      <alignment horizontal="left" vertical="center" wrapText="1"/>
    </xf>
    <xf numFmtId="164" fontId="33" fillId="3" borderId="29" xfId="0" applyNumberFormat="1" applyFont="1" applyFill="1" applyBorder="1" applyAlignment="1" applyProtection="1">
      <alignment horizontal="center" vertical="center" wrapText="1"/>
    </xf>
    <xf numFmtId="164" fontId="33" fillId="3" borderId="22" xfId="0" applyNumberFormat="1" applyFont="1" applyFill="1" applyBorder="1" applyAlignment="1" applyProtection="1">
      <alignment horizontal="center" vertical="center" wrapText="1"/>
    </xf>
    <xf numFmtId="164" fontId="33" fillId="3" borderId="37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4" fillId="6" borderId="29" xfId="0" applyNumberFormat="1" applyFont="1" applyFill="1" applyBorder="1" applyAlignment="1" applyProtection="1">
      <alignment horizontal="center" vertical="center" wrapText="1"/>
    </xf>
    <xf numFmtId="164" fontId="4" fillId="6" borderId="22" xfId="0" applyNumberFormat="1" applyFont="1" applyFill="1" applyBorder="1" applyAlignment="1" applyProtection="1">
      <alignment horizontal="center" vertical="center" wrapText="1"/>
    </xf>
    <xf numFmtId="164" fontId="4" fillId="6" borderId="37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6" fillId="3" borderId="29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 applyProtection="1">
      <alignment horizontal="center" vertical="center" wrapText="1"/>
    </xf>
    <xf numFmtId="164" fontId="6" fillId="3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58" xfId="0" applyNumberFormat="1" applyBorder="1" applyAlignment="1" applyProtection="1">
      <alignment horizontal="center" vertical="center"/>
    </xf>
    <xf numFmtId="164" fontId="0" fillId="0" borderId="59" xfId="0" applyNumberFormat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left" vertical="center" wrapText="1"/>
    </xf>
    <xf numFmtId="0" fontId="27" fillId="0" borderId="1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29" fillId="10" borderId="22" xfId="0" applyFont="1" applyFill="1" applyBorder="1" applyAlignment="1" applyProtection="1">
      <alignment horizontal="center" vertical="center"/>
      <protection locked="0"/>
    </xf>
    <xf numFmtId="0" fontId="29" fillId="10" borderId="19" xfId="0" applyFont="1" applyFill="1" applyBorder="1" applyAlignment="1" applyProtection="1">
      <alignment horizontal="center" vertical="center"/>
      <protection locked="0"/>
    </xf>
    <xf numFmtId="0" fontId="29" fillId="10" borderId="18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 applyProtection="1">
      <alignment horizontal="center" wrapText="1"/>
    </xf>
    <xf numFmtId="0" fontId="32" fillId="8" borderId="19" xfId="0" applyFont="1" applyFill="1" applyBorder="1" applyAlignment="1" applyProtection="1">
      <alignment horizontal="center" wrapText="1"/>
    </xf>
    <xf numFmtId="0" fontId="32" fillId="8" borderId="18" xfId="0" applyFont="1" applyFill="1" applyBorder="1" applyAlignment="1" applyProtection="1">
      <alignment horizont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5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0" fillId="10" borderId="41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4" fillId="4" borderId="25" xfId="0" applyFont="1" applyFill="1" applyBorder="1" applyAlignment="1" applyProtection="1">
      <alignment horizontal="left" vertical="center"/>
    </xf>
    <xf numFmtId="0" fontId="4" fillId="4" borderId="26" xfId="0" applyFont="1" applyFill="1" applyBorder="1" applyAlignment="1" applyProtection="1">
      <alignment horizontal="left" vertical="center"/>
    </xf>
    <xf numFmtId="0" fontId="4" fillId="4" borderId="27" xfId="0" applyFont="1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29" fillId="10" borderId="21" xfId="0" applyFont="1" applyFill="1" applyBorder="1" applyAlignment="1" applyProtection="1">
      <alignment horizontal="center" vertical="center"/>
      <protection locked="0"/>
    </xf>
    <xf numFmtId="0" fontId="32" fillId="8" borderId="21" xfId="0" applyFont="1" applyFill="1" applyBorder="1" applyAlignment="1" applyProtection="1">
      <alignment horizont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96631</xdr:colOff>
      <xdr:row>0</xdr:row>
      <xdr:rowOff>82826</xdr:rowOff>
    </xdr:from>
    <xdr:to>
      <xdr:col>5</xdr:col>
      <xdr:colOff>760341</xdr:colOff>
      <xdr:row>2</xdr:row>
      <xdr:rowOff>276088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8" y="82826"/>
          <a:ext cx="2113626" cy="55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showGridLines="0" tabSelected="1" zoomScale="60" zoomScaleNormal="60" zoomScaleSheetLayoutView="80" workbookViewId="0">
      <selection activeCell="E30" sqref="E30:F30"/>
    </sheetView>
  </sheetViews>
  <sheetFormatPr defaultColWidth="9.140625"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9.5703125" style="5" customWidth="1"/>
    <col min="16" max="16" width="10.5703125" style="5" customWidth="1"/>
    <col min="17" max="17" width="16" style="5" customWidth="1"/>
    <col min="18" max="18" width="10" style="5" customWidth="1"/>
    <col min="19" max="19" width="12.42578125" style="5" customWidth="1"/>
    <col min="20" max="20" width="16.42578125" style="5" customWidth="1"/>
    <col min="21" max="21" width="16.42578125" style="41" customWidth="1"/>
    <col min="22" max="22" width="13.85546875" style="5" customWidth="1"/>
    <col min="23" max="16384" width="9.140625" style="5"/>
  </cols>
  <sheetData>
    <row r="1" spans="2:22" ht="23.1" customHeight="1" thickTop="1" thickBot="1" x14ac:dyDescent="0.3">
      <c r="B1" s="103" t="s">
        <v>74</v>
      </c>
      <c r="C1" s="104"/>
      <c r="D1" s="250"/>
      <c r="E1" s="251"/>
      <c r="R1" s="9" t="s">
        <v>25</v>
      </c>
      <c r="S1" s="9"/>
      <c r="T1" s="12">
        <v>15</v>
      </c>
      <c r="U1" s="33"/>
    </row>
    <row r="2" spans="2:22" ht="6" customHeight="1" thickTop="1" thickBot="1" x14ac:dyDescent="0.3">
      <c r="B2" s="105"/>
      <c r="C2" s="106"/>
      <c r="D2" s="250"/>
      <c r="E2" s="251"/>
      <c r="H2" s="11"/>
      <c r="P2" s="8"/>
      <c r="Q2" s="8"/>
      <c r="T2" s="13"/>
      <c r="U2" s="34"/>
    </row>
    <row r="3" spans="2:22" ht="23.1" customHeight="1" thickTop="1" thickBot="1" x14ac:dyDescent="0.3">
      <c r="B3" s="107"/>
      <c r="C3" s="108"/>
      <c r="D3" s="250"/>
      <c r="E3" s="251"/>
      <c r="R3" s="9" t="s">
        <v>24</v>
      </c>
      <c r="S3" s="9"/>
      <c r="T3" s="12"/>
      <c r="U3" s="33"/>
    </row>
    <row r="4" spans="2:22" ht="9.75" customHeight="1" thickTop="1" x14ac:dyDescent="0.25">
      <c r="P4" s="8"/>
      <c r="Q4" s="8"/>
      <c r="T4" s="10"/>
      <c r="U4" s="35"/>
    </row>
    <row r="5" spans="2:22" ht="28.5" customHeight="1" thickBot="1" x14ac:dyDescent="0.3">
      <c r="B5" s="259" t="s">
        <v>75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36"/>
      <c r="V5" s="4"/>
    </row>
    <row r="6" spans="2:22" ht="24.95" customHeight="1" x14ac:dyDescent="0.25">
      <c r="B6" s="209" t="s">
        <v>15</v>
      </c>
      <c r="C6" s="210"/>
      <c r="D6" s="210"/>
      <c r="E6" s="246"/>
      <c r="F6" s="247"/>
      <c r="G6" s="247"/>
      <c r="H6" s="247"/>
      <c r="I6" s="247"/>
      <c r="J6" s="247"/>
      <c r="K6" s="247"/>
      <c r="L6" s="247"/>
      <c r="M6" s="247"/>
      <c r="N6" s="247"/>
      <c r="O6" s="240" t="s">
        <v>13</v>
      </c>
      <c r="P6" s="241"/>
      <c r="Q6" s="242"/>
      <c r="R6" s="112">
        <v>0</v>
      </c>
      <c r="S6" s="112"/>
      <c r="T6" s="113"/>
      <c r="U6" s="37"/>
      <c r="V6" s="4"/>
    </row>
    <row r="7" spans="2:22" ht="24.95" customHeight="1" thickBot="1" x14ac:dyDescent="0.3">
      <c r="B7" s="221" t="s">
        <v>14</v>
      </c>
      <c r="C7" s="222"/>
      <c r="D7" s="222"/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243"/>
      <c r="P7" s="244"/>
      <c r="Q7" s="245"/>
      <c r="R7" s="114"/>
      <c r="S7" s="114"/>
      <c r="T7" s="115"/>
      <c r="U7" s="37"/>
      <c r="V7" s="4"/>
    </row>
    <row r="8" spans="2:22" ht="9.75" customHeight="1" thickBot="1" x14ac:dyDescent="0.3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38"/>
      <c r="V8" s="4"/>
    </row>
    <row r="9" spans="2:22" ht="31.5" customHeight="1" x14ac:dyDescent="0.25">
      <c r="B9" s="264" t="s">
        <v>0</v>
      </c>
      <c r="C9" s="265"/>
      <c r="D9" s="266"/>
      <c r="E9" s="155" t="s">
        <v>8</v>
      </c>
      <c r="F9" s="156"/>
      <c r="G9" s="154" t="s">
        <v>9</v>
      </c>
      <c r="H9" s="156"/>
      <c r="I9" s="154" t="s">
        <v>12</v>
      </c>
      <c r="J9" s="155"/>
      <c r="K9" s="155"/>
      <c r="L9" s="156"/>
      <c r="M9" s="155" t="s">
        <v>10</v>
      </c>
      <c r="N9" s="156"/>
      <c r="O9" s="154" t="s">
        <v>61</v>
      </c>
      <c r="P9" s="155"/>
      <c r="Q9" s="156"/>
      <c r="R9" s="260" t="s">
        <v>63</v>
      </c>
      <c r="S9" s="260"/>
      <c r="T9" s="261"/>
      <c r="U9" s="39"/>
      <c r="V9" s="4"/>
    </row>
    <row r="10" spans="2:22" x14ac:dyDescent="0.25">
      <c r="B10" s="271" t="s">
        <v>1</v>
      </c>
      <c r="C10" s="272"/>
      <c r="D10" s="273"/>
      <c r="E10" s="158"/>
      <c r="F10" s="159"/>
      <c r="G10" s="157"/>
      <c r="H10" s="159"/>
      <c r="I10" s="204" t="s">
        <v>26</v>
      </c>
      <c r="J10" s="205"/>
      <c r="K10" s="3" t="s">
        <v>27</v>
      </c>
      <c r="L10" s="3" t="s">
        <v>28</v>
      </c>
      <c r="M10" s="158"/>
      <c r="N10" s="159"/>
      <c r="O10" s="157"/>
      <c r="P10" s="158"/>
      <c r="Q10" s="159"/>
      <c r="R10" s="262"/>
      <c r="S10" s="262"/>
      <c r="T10" s="263"/>
      <c r="U10" s="39"/>
      <c r="V10" s="4"/>
    </row>
    <row r="11" spans="2:22" ht="24.95" customHeight="1" x14ac:dyDescent="0.25">
      <c r="B11" s="206" t="s">
        <v>42</v>
      </c>
      <c r="C11" s="207"/>
      <c r="D11" s="207"/>
      <c r="E11" s="190">
        <v>0</v>
      </c>
      <c r="F11" s="191"/>
      <c r="G11" s="190">
        <v>0</v>
      </c>
      <c r="H11" s="191"/>
      <c r="I11" s="223" t="s">
        <v>11</v>
      </c>
      <c r="J11" s="224"/>
      <c r="K11" s="6" t="s">
        <v>11</v>
      </c>
      <c r="L11" s="7" t="s">
        <v>11</v>
      </c>
      <c r="M11" s="190">
        <v>0</v>
      </c>
      <c r="N11" s="191"/>
      <c r="O11" s="190">
        <v>0</v>
      </c>
      <c r="P11" s="192"/>
      <c r="Q11" s="191"/>
      <c r="R11" s="267" t="s">
        <v>11</v>
      </c>
      <c r="S11" s="267"/>
      <c r="T11" s="268"/>
      <c r="U11" s="40"/>
      <c r="V11" s="4"/>
    </row>
    <row r="12" spans="2:22" ht="24.95" customHeight="1" x14ac:dyDescent="0.25">
      <c r="B12" s="227" t="s">
        <v>60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9"/>
      <c r="O12" s="190">
        <v>0</v>
      </c>
      <c r="P12" s="192"/>
      <c r="Q12" s="191"/>
      <c r="R12" s="190">
        <v>0</v>
      </c>
      <c r="S12" s="192"/>
      <c r="T12" s="193"/>
      <c r="V12" s="4"/>
    </row>
    <row r="13" spans="2:22" ht="24.95" customHeight="1" x14ac:dyDescent="0.25">
      <c r="B13" s="55"/>
      <c r="C13" s="53"/>
      <c r="D13" s="53"/>
      <c r="E13" s="53"/>
      <c r="F13" s="53"/>
      <c r="G13" s="53"/>
      <c r="H13" s="53"/>
      <c r="I13" s="53"/>
      <c r="J13" s="53"/>
      <c r="K13" s="233"/>
      <c r="L13" s="233"/>
      <c r="M13" s="233"/>
      <c r="N13" s="233"/>
      <c r="O13" s="237" t="s">
        <v>64</v>
      </c>
      <c r="P13" s="238"/>
      <c r="Q13" s="270"/>
      <c r="R13" s="237" t="s">
        <v>62</v>
      </c>
      <c r="S13" s="238"/>
      <c r="T13" s="239"/>
      <c r="U13" s="42"/>
      <c r="V13" s="4"/>
    </row>
    <row r="14" spans="2:22" ht="24.95" customHeight="1" x14ac:dyDescent="0.25">
      <c r="B14" s="55"/>
      <c r="C14" s="53"/>
      <c r="D14" s="53"/>
      <c r="E14" s="53"/>
      <c r="F14" s="53"/>
      <c r="G14" s="53"/>
      <c r="H14" s="53"/>
      <c r="I14" s="53"/>
      <c r="J14" s="53"/>
      <c r="K14" s="54"/>
      <c r="L14" s="54"/>
      <c r="M14" s="54"/>
      <c r="N14" s="54"/>
      <c r="O14" s="234">
        <v>0</v>
      </c>
      <c r="P14" s="235"/>
      <c r="Q14" s="269"/>
      <c r="R14" s="234">
        <v>0</v>
      </c>
      <c r="S14" s="235"/>
      <c r="T14" s="236"/>
      <c r="U14" s="42"/>
      <c r="V14" s="4"/>
    </row>
    <row r="15" spans="2:22" ht="24.95" customHeight="1" thickBot="1" x14ac:dyDescent="0.3">
      <c r="B15" s="198" t="s">
        <v>49</v>
      </c>
      <c r="C15" s="199"/>
      <c r="D15" s="200"/>
      <c r="E15" s="201">
        <v>0</v>
      </c>
      <c r="F15" s="201"/>
      <c r="G15" s="202">
        <v>0</v>
      </c>
      <c r="H15" s="203"/>
      <c r="I15" s="201">
        <v>0</v>
      </c>
      <c r="J15" s="201"/>
      <c r="K15" s="56">
        <v>0</v>
      </c>
      <c r="L15" s="57">
        <v>0</v>
      </c>
      <c r="M15" s="202">
        <v>0</v>
      </c>
      <c r="N15" s="203"/>
      <c r="O15" s="215">
        <v>0</v>
      </c>
      <c r="P15" s="216"/>
      <c r="Q15" s="217"/>
      <c r="R15" s="217">
        <v>0</v>
      </c>
      <c r="S15" s="225"/>
      <c r="T15" s="226"/>
      <c r="U15" s="43"/>
      <c r="V15" s="4"/>
    </row>
    <row r="16" spans="2:22" ht="8.1" customHeight="1" thickBot="1" x14ac:dyDescent="0.3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38"/>
      <c r="V16" s="4"/>
    </row>
    <row r="17" spans="2:22" ht="21.95" customHeight="1" x14ac:dyDescent="0.25">
      <c r="B17" s="254" t="s">
        <v>23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6"/>
      <c r="U17" s="44"/>
      <c r="V17" s="4"/>
    </row>
    <row r="18" spans="2:22" ht="23.1" customHeight="1" x14ac:dyDescent="0.25">
      <c r="B18" s="22" t="s">
        <v>2</v>
      </c>
      <c r="C18" s="207" t="s">
        <v>5</v>
      </c>
      <c r="D18" s="257"/>
      <c r="E18" s="19" t="s">
        <v>29</v>
      </c>
      <c r="F18" s="2">
        <f>125*E11</f>
        <v>0</v>
      </c>
      <c r="G18" s="19" t="s">
        <v>32</v>
      </c>
      <c r="H18" s="2">
        <f>160*G11</f>
        <v>0</v>
      </c>
      <c r="I18" s="164" t="s">
        <v>34</v>
      </c>
      <c r="J18" s="194">
        <f>IF(I15&gt;0,14000,0)</f>
        <v>0</v>
      </c>
      <c r="K18" s="248">
        <f>IF(K15&gt;0,14000,0)</f>
        <v>0</v>
      </c>
      <c r="L18" s="248">
        <f>IF(L15&gt;0,14000,0)</f>
        <v>0</v>
      </c>
      <c r="M18" s="19" t="s">
        <v>35</v>
      </c>
      <c r="N18" s="2">
        <f>80*M11</f>
        <v>0</v>
      </c>
      <c r="O18" s="19" t="s">
        <v>35</v>
      </c>
      <c r="P18" s="31" t="s">
        <v>59</v>
      </c>
      <c r="Q18" s="2">
        <f>IF(O11=0,0,(80*Hárok1!B4+85*Hárok1!B6))</f>
        <v>0</v>
      </c>
      <c r="R18" s="164" t="s">
        <v>38</v>
      </c>
      <c r="S18" s="218" t="s">
        <v>58</v>
      </c>
      <c r="T18" s="152">
        <f>600*(R12-R14)+620*R14</f>
        <v>0</v>
      </c>
      <c r="U18" s="45"/>
      <c r="V18" s="4"/>
    </row>
    <row r="19" spans="2:22" ht="23.1" customHeight="1" x14ac:dyDescent="0.25">
      <c r="B19" s="22" t="s">
        <v>3</v>
      </c>
      <c r="C19" s="186" t="s">
        <v>6</v>
      </c>
      <c r="D19" s="187"/>
      <c r="E19" s="29" t="s">
        <v>30</v>
      </c>
      <c r="F19" s="30">
        <f>IF(ISBLANK(E11),0,650*R6)</f>
        <v>0</v>
      </c>
      <c r="G19" s="29" t="s">
        <v>33</v>
      </c>
      <c r="H19" s="30">
        <f>IF(ISBLANK(G11),0,860*R6)</f>
        <v>0</v>
      </c>
      <c r="I19" s="165"/>
      <c r="J19" s="195"/>
      <c r="K19" s="249"/>
      <c r="L19" s="249"/>
      <c r="M19" s="29" t="s">
        <v>36</v>
      </c>
      <c r="N19" s="30">
        <f>IF(ISBLANK(M11),0,870*R6)</f>
        <v>0</v>
      </c>
      <c r="O19" s="29" t="s">
        <v>37</v>
      </c>
      <c r="P19" s="32" t="s">
        <v>54</v>
      </c>
      <c r="Q19" s="30">
        <f>390*(O12-O14)+420*O14</f>
        <v>0</v>
      </c>
      <c r="R19" s="165"/>
      <c r="S19" s="219"/>
      <c r="T19" s="153"/>
      <c r="U19" s="45"/>
      <c r="V19" s="4"/>
    </row>
    <row r="20" spans="2:22" ht="23.1" customHeight="1" x14ac:dyDescent="0.25">
      <c r="B20" s="22" t="s">
        <v>4</v>
      </c>
      <c r="C20" s="207" t="s">
        <v>43</v>
      </c>
      <c r="D20" s="257"/>
      <c r="E20" s="19" t="s">
        <v>44</v>
      </c>
      <c r="F20" s="2">
        <f>ROUND(0.7*E15,2)</f>
        <v>0</v>
      </c>
      <c r="G20" s="19" t="s">
        <v>44</v>
      </c>
      <c r="H20" s="2">
        <f>ROUND(0.7*G15,2)</f>
        <v>0</v>
      </c>
      <c r="I20" s="21" t="s">
        <v>40</v>
      </c>
      <c r="J20" s="1">
        <f>ROUND(0.7*I15,2)</f>
        <v>0</v>
      </c>
      <c r="K20" s="14">
        <f>ROUND(0.7*K15,2)</f>
        <v>0</v>
      </c>
      <c r="L20" s="14">
        <f>ROUND(0.7*L15,2)</f>
        <v>0</v>
      </c>
      <c r="M20" s="19" t="s">
        <v>44</v>
      </c>
      <c r="N20" s="2">
        <f>ROUND(0.7*M15,2)</f>
        <v>0</v>
      </c>
      <c r="O20" s="19" t="s">
        <v>44</v>
      </c>
      <c r="P20" s="31" t="s">
        <v>44</v>
      </c>
      <c r="Q20" s="2">
        <f>ROUND(0.7*O15,2)</f>
        <v>0</v>
      </c>
      <c r="R20" s="19" t="s">
        <v>45</v>
      </c>
      <c r="S20" s="31" t="s">
        <v>45</v>
      </c>
      <c r="T20" s="58">
        <f>ROUND(0.1*R15,2)</f>
        <v>0</v>
      </c>
      <c r="U20" s="45"/>
      <c r="V20" s="4"/>
    </row>
    <row r="21" spans="2:22" ht="30" customHeight="1" thickBot="1" x14ac:dyDescent="0.3">
      <c r="B21" s="180" t="s">
        <v>31</v>
      </c>
      <c r="C21" s="181"/>
      <c r="D21" s="182"/>
      <c r="E21" s="162">
        <f>MIN(F18:F20)</f>
        <v>0</v>
      </c>
      <c r="F21" s="163"/>
      <c r="G21" s="162">
        <f>MIN(H18:H20)</f>
        <v>0</v>
      </c>
      <c r="H21" s="163"/>
      <c r="I21" s="185">
        <f>MIN(J18:J20)+MIN(K18:K20)+MIN(L18:L20)</f>
        <v>0</v>
      </c>
      <c r="J21" s="183"/>
      <c r="K21" s="183"/>
      <c r="L21" s="183"/>
      <c r="M21" s="185">
        <f>MIN(N18:N20)</f>
        <v>0</v>
      </c>
      <c r="N21" s="184"/>
      <c r="O21" s="185">
        <f>MIN(Q18:Q20)</f>
        <v>0</v>
      </c>
      <c r="P21" s="183"/>
      <c r="Q21" s="184"/>
      <c r="R21" s="162">
        <f>MIN(S18:T20)</f>
        <v>0</v>
      </c>
      <c r="S21" s="162"/>
      <c r="T21" s="258"/>
      <c r="U21" s="25"/>
      <c r="V21" s="4"/>
    </row>
    <row r="22" spans="2:22" ht="8.1" customHeight="1" thickBot="1" x14ac:dyDescent="0.3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38"/>
      <c r="V22" s="4"/>
    </row>
    <row r="23" spans="2:22" ht="21.95" customHeight="1" x14ac:dyDescent="0.25">
      <c r="B23" s="230" t="s">
        <v>16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2"/>
      <c r="U23" s="26"/>
      <c r="V23" s="4"/>
    </row>
    <row r="24" spans="2:22" ht="23.1" customHeight="1" x14ac:dyDescent="0.25">
      <c r="B24" s="22" t="s">
        <v>2</v>
      </c>
      <c r="C24" s="186" t="s">
        <v>7</v>
      </c>
      <c r="D24" s="187"/>
      <c r="E24" s="20" t="s">
        <v>72</v>
      </c>
      <c r="F24" s="24">
        <f>1500*R6</f>
        <v>0</v>
      </c>
      <c r="G24" s="20" t="s">
        <v>66</v>
      </c>
      <c r="H24" s="24">
        <f>2000*R6</f>
        <v>0</v>
      </c>
      <c r="I24" s="19" t="s">
        <v>65</v>
      </c>
      <c r="J24" s="15">
        <f>IF(I15&gt;0,22000,0)</f>
        <v>0</v>
      </c>
      <c r="K24" s="16">
        <f>IF(K15&gt;0,22000,0)</f>
        <v>0</v>
      </c>
      <c r="L24" s="16">
        <f>IF(L15&gt;0,22000,0)</f>
        <v>0</v>
      </c>
      <c r="M24" s="20" t="s">
        <v>73</v>
      </c>
      <c r="N24" s="24">
        <f>2200*R6</f>
        <v>0</v>
      </c>
      <c r="O24" s="20" t="s">
        <v>73</v>
      </c>
      <c r="P24" s="211">
        <f>2200*O12</f>
        <v>0</v>
      </c>
      <c r="Q24" s="220"/>
      <c r="R24" s="23" t="s">
        <v>41</v>
      </c>
      <c r="S24" s="213">
        <f>6000*R12</f>
        <v>0</v>
      </c>
      <c r="T24" s="214"/>
      <c r="U24" s="45"/>
      <c r="V24" s="4"/>
    </row>
    <row r="25" spans="2:22" ht="23.1" customHeight="1" x14ac:dyDescent="0.25">
      <c r="B25" s="22" t="s">
        <v>3</v>
      </c>
      <c r="C25" s="186" t="s">
        <v>47</v>
      </c>
      <c r="D25" s="187"/>
      <c r="E25" s="20" t="s">
        <v>67</v>
      </c>
      <c r="F25" s="24">
        <f>ROUND(0.75*E15,2)</f>
        <v>0</v>
      </c>
      <c r="G25" s="20" t="s">
        <v>67</v>
      </c>
      <c r="H25" s="24">
        <f>ROUND(0.75*G15,2)</f>
        <v>0</v>
      </c>
      <c r="I25" s="21" t="s">
        <v>69</v>
      </c>
      <c r="J25" s="17">
        <f>ROUND(0.75*I15,2)</f>
        <v>0</v>
      </c>
      <c r="K25" s="18">
        <f>ROUND(0.75*K15,2)</f>
        <v>0</v>
      </c>
      <c r="L25" s="18">
        <f>ROUND(0.75*L15,2)</f>
        <v>0</v>
      </c>
      <c r="M25" s="20" t="s">
        <v>67</v>
      </c>
      <c r="N25" s="24">
        <f>ROUND(0.75*M15,2)</f>
        <v>0</v>
      </c>
      <c r="O25" s="20" t="s">
        <v>67</v>
      </c>
      <c r="P25" s="213">
        <f>ROUND(0.75*O15,2)</f>
        <v>0</v>
      </c>
      <c r="Q25" s="195"/>
      <c r="R25" s="19" t="s">
        <v>68</v>
      </c>
      <c r="S25" s="211">
        <f>ROUND(0.9*R15,2)</f>
        <v>0</v>
      </c>
      <c r="T25" s="212"/>
      <c r="U25" s="45"/>
      <c r="V25" s="4"/>
    </row>
    <row r="26" spans="2:22" ht="30" customHeight="1" thickBot="1" x14ac:dyDescent="0.3">
      <c r="B26" s="180" t="s">
        <v>39</v>
      </c>
      <c r="C26" s="181"/>
      <c r="D26" s="182"/>
      <c r="E26" s="183">
        <f>MIN(F24:F25)</f>
        <v>0</v>
      </c>
      <c r="F26" s="184"/>
      <c r="G26" s="183">
        <f>MIN(H24:H25)</f>
        <v>0</v>
      </c>
      <c r="H26" s="184"/>
      <c r="I26" s="185">
        <f>MIN(J24:J25)+MIN(K24:K25)+MIN(L24:L25)</f>
        <v>0</v>
      </c>
      <c r="J26" s="183"/>
      <c r="K26" s="183"/>
      <c r="L26" s="183"/>
      <c r="M26" s="185">
        <f>MIN(N24:N25)</f>
        <v>0</v>
      </c>
      <c r="N26" s="184"/>
      <c r="O26" s="185">
        <f>MIN(P24:P25)</f>
        <v>0</v>
      </c>
      <c r="P26" s="183"/>
      <c r="Q26" s="184"/>
      <c r="R26" s="183">
        <f>MIN(S24:T25)</f>
        <v>0</v>
      </c>
      <c r="S26" s="183"/>
      <c r="T26" s="208"/>
      <c r="U26" s="25"/>
      <c r="V26" s="4"/>
    </row>
    <row r="27" spans="2:22" ht="8.1" customHeight="1" thickBot="1" x14ac:dyDescent="0.3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38"/>
      <c r="V27" s="4"/>
    </row>
    <row r="28" spans="2:22" ht="23.1" customHeight="1" x14ac:dyDescent="0.25">
      <c r="B28" s="176" t="s">
        <v>53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8"/>
      <c r="T28" s="179"/>
      <c r="U28" s="26"/>
      <c r="V28" s="4"/>
    </row>
    <row r="29" spans="2:22" ht="39.950000000000003" customHeight="1" x14ac:dyDescent="0.25">
      <c r="B29" s="252" t="s">
        <v>76</v>
      </c>
      <c r="C29" s="253"/>
      <c r="D29" s="253"/>
      <c r="E29" s="166">
        <v>0</v>
      </c>
      <c r="F29" s="166"/>
      <c r="G29" s="166">
        <v>0</v>
      </c>
      <c r="H29" s="166"/>
      <c r="I29" s="167">
        <v>0</v>
      </c>
      <c r="J29" s="171"/>
      <c r="K29" s="171"/>
      <c r="L29" s="172"/>
      <c r="M29" s="166">
        <v>0</v>
      </c>
      <c r="N29" s="166"/>
      <c r="O29" s="167">
        <v>0</v>
      </c>
      <c r="P29" s="171"/>
      <c r="Q29" s="172"/>
      <c r="R29" s="166">
        <v>0</v>
      </c>
      <c r="S29" s="167"/>
      <c r="T29" s="168"/>
      <c r="U29" s="46"/>
      <c r="V29" s="4"/>
    </row>
    <row r="30" spans="2:22" s="60" customFormat="1" ht="39.950000000000003" customHeight="1" x14ac:dyDescent="0.25">
      <c r="B30" s="196" t="s">
        <v>77</v>
      </c>
      <c r="C30" s="197"/>
      <c r="D30" s="197"/>
      <c r="E30" s="160">
        <v>0</v>
      </c>
      <c r="F30" s="161"/>
      <c r="G30" s="160">
        <v>0</v>
      </c>
      <c r="H30" s="161"/>
      <c r="I30" s="160">
        <v>0</v>
      </c>
      <c r="J30" s="169"/>
      <c r="K30" s="169"/>
      <c r="L30" s="161"/>
      <c r="M30" s="160">
        <v>0</v>
      </c>
      <c r="N30" s="161"/>
      <c r="O30" s="160">
        <v>0</v>
      </c>
      <c r="P30" s="169"/>
      <c r="Q30" s="161"/>
      <c r="R30" s="160">
        <v>0</v>
      </c>
      <c r="S30" s="169"/>
      <c r="T30" s="170"/>
      <c r="U30" s="61"/>
      <c r="V30" s="62"/>
    </row>
    <row r="31" spans="2:22" s="60" customFormat="1" ht="30" customHeight="1" x14ac:dyDescent="0.25">
      <c r="B31" s="76" t="s">
        <v>70</v>
      </c>
      <c r="C31" s="77"/>
      <c r="D31" s="77"/>
      <c r="E31" s="78">
        <f>IF(ISBLANK(E30),"",MIN(E26,E15-E29))</f>
        <v>0</v>
      </c>
      <c r="F31" s="78"/>
      <c r="G31" s="78">
        <f>IF(ISBLANK(G30),"",MIN(G26,G15-G29))</f>
        <v>0</v>
      </c>
      <c r="H31" s="78"/>
      <c r="I31" s="79">
        <f>IF(ISBLANK(I30),"",MIN(I26,SUM(I15:L15)-I29))</f>
        <v>0</v>
      </c>
      <c r="J31" s="80"/>
      <c r="K31" s="80"/>
      <c r="L31" s="81"/>
      <c r="M31" s="78">
        <f>IF(ISBLANK(M30),"",MIN(M26,M15-M29))</f>
        <v>0</v>
      </c>
      <c r="N31" s="78"/>
      <c r="O31" s="79">
        <f>IF(ISBLANK(O30),"",MIN(O26,O15-O29))</f>
        <v>0</v>
      </c>
      <c r="P31" s="80"/>
      <c r="Q31" s="81"/>
      <c r="R31" s="78">
        <f>IF(ISBLANK(R30),"",MIN(R26,R15-R29))</f>
        <v>0</v>
      </c>
      <c r="S31" s="79"/>
      <c r="T31" s="82"/>
      <c r="U31" s="25"/>
    </row>
    <row r="32" spans="2:22" ht="28.5" customHeight="1" thickBot="1" x14ac:dyDescent="0.3">
      <c r="B32" s="173" t="s">
        <v>48</v>
      </c>
      <c r="C32" s="174"/>
      <c r="D32" s="174"/>
      <c r="E32" s="151">
        <f>IF(ISBLANK(E30),"",IF(E15-E29-E30&gt;0,E15-E29-E30,0))</f>
        <v>0</v>
      </c>
      <c r="F32" s="151"/>
      <c r="G32" s="151">
        <f>IF(ISBLANK(G30),"",IF(G15-G29-G30&gt;0,G15-G29-G30,0))</f>
        <v>0</v>
      </c>
      <c r="H32" s="151"/>
      <c r="I32" s="148">
        <f>IF(ISBLANK(I30),"",IF(SUM(I15:L15)-I29-I30&gt;0,SUM(I15:L15)-I29-I30,0))</f>
        <v>0</v>
      </c>
      <c r="J32" s="149"/>
      <c r="K32" s="149"/>
      <c r="L32" s="150"/>
      <c r="M32" s="151">
        <f>IF(ISBLANK(M30),"",IF(M15-M29-M30&gt;0,M15-M29-M30,0))</f>
        <v>0</v>
      </c>
      <c r="N32" s="151"/>
      <c r="O32" s="148">
        <f>IF(ISBLANK(O30),"",IF(O15-O29-O30&gt;0,O15-O29-O30,0))</f>
        <v>0</v>
      </c>
      <c r="P32" s="149"/>
      <c r="Q32" s="150"/>
      <c r="R32" s="151">
        <f>IF(ISBLANK(R30),"",IF(R15-R29-R30&gt;0,R15-R29-R30,0))</f>
        <v>0</v>
      </c>
      <c r="S32" s="148"/>
      <c r="T32" s="175"/>
      <c r="U32" s="27"/>
    </row>
    <row r="33" spans="2:21" ht="8.1" customHeight="1" thickBot="1" x14ac:dyDescent="0.3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38"/>
    </row>
    <row r="34" spans="2:21" ht="19.5" customHeight="1" thickBot="1" x14ac:dyDescent="0.3">
      <c r="B34" s="63" t="s">
        <v>22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  <c r="U34" s="47"/>
    </row>
    <row r="35" spans="2:21" ht="21.95" customHeight="1" x14ac:dyDescent="0.25">
      <c r="B35" s="97" t="s">
        <v>50</v>
      </c>
      <c r="C35" s="98"/>
      <c r="D35" s="98"/>
      <c r="E35" s="98"/>
      <c r="F35" s="98"/>
      <c r="G35" s="98"/>
      <c r="H35" s="98"/>
      <c r="I35" s="98"/>
      <c r="J35" s="98"/>
      <c r="K35" s="99">
        <f>SUM(E15:T15)</f>
        <v>0</v>
      </c>
      <c r="L35" s="99"/>
      <c r="M35" s="99"/>
      <c r="N35" s="99"/>
      <c r="O35" s="99"/>
      <c r="P35" s="99"/>
      <c r="Q35" s="99"/>
      <c r="R35" s="99"/>
      <c r="S35" s="100"/>
      <c r="T35" s="101"/>
      <c r="U35" s="48"/>
    </row>
    <row r="36" spans="2:21" ht="23.1" customHeight="1" x14ac:dyDescent="0.25">
      <c r="B36" s="116" t="s">
        <v>17</v>
      </c>
      <c r="C36" s="117"/>
      <c r="D36" s="117"/>
      <c r="E36" s="124" t="s">
        <v>18</v>
      </c>
      <c r="F36" s="124"/>
      <c r="G36" s="124"/>
      <c r="H36" s="124"/>
      <c r="I36" s="124"/>
      <c r="J36" s="124"/>
      <c r="K36" s="134">
        <f>SUM(E29:T29)</f>
        <v>0</v>
      </c>
      <c r="L36" s="134"/>
      <c r="M36" s="134"/>
      <c r="N36" s="134"/>
      <c r="O36" s="134"/>
      <c r="P36" s="134"/>
      <c r="Q36" s="134"/>
      <c r="R36" s="134"/>
      <c r="S36" s="135"/>
      <c r="T36" s="136"/>
      <c r="U36" s="48"/>
    </row>
    <row r="37" spans="2:21" ht="23.1" customHeight="1" x14ac:dyDescent="0.25">
      <c r="B37" s="118"/>
      <c r="C37" s="119"/>
      <c r="D37" s="119"/>
      <c r="E37" s="125" t="s">
        <v>20</v>
      </c>
      <c r="F37" s="125"/>
      <c r="G37" s="125"/>
      <c r="H37" s="125"/>
      <c r="I37" s="125"/>
      <c r="J37" s="126"/>
      <c r="K37" s="137">
        <f>ROUNDDOWN(SUM(E29:T29),-1)</f>
        <v>0</v>
      </c>
      <c r="L37" s="137"/>
      <c r="M37" s="137"/>
      <c r="N37" s="137"/>
      <c r="O37" s="137"/>
      <c r="P37" s="137"/>
      <c r="Q37" s="137"/>
      <c r="R37" s="137"/>
      <c r="S37" s="138"/>
      <c r="T37" s="139"/>
      <c r="U37" s="49"/>
    </row>
    <row r="38" spans="2:21" ht="21.95" customHeight="1" x14ac:dyDescent="0.25">
      <c r="B38" s="146" t="s">
        <v>46</v>
      </c>
      <c r="C38" s="147"/>
      <c r="D38" s="147"/>
      <c r="E38" s="147"/>
      <c r="F38" s="147"/>
      <c r="G38" s="147"/>
      <c r="H38" s="147"/>
      <c r="I38" s="147"/>
      <c r="J38" s="147"/>
      <c r="K38" s="140">
        <f>R6*12000</f>
        <v>0</v>
      </c>
      <c r="L38" s="140"/>
      <c r="M38" s="140"/>
      <c r="N38" s="140"/>
      <c r="O38" s="140"/>
      <c r="P38" s="140"/>
      <c r="Q38" s="140"/>
      <c r="R38" s="140"/>
      <c r="S38" s="141"/>
      <c r="T38" s="142"/>
      <c r="U38" s="48"/>
    </row>
    <row r="39" spans="2:21" s="59" customFormat="1" ht="23.1" customHeight="1" x14ac:dyDescent="0.25">
      <c r="B39" s="120" t="s">
        <v>19</v>
      </c>
      <c r="C39" s="121"/>
      <c r="D39" s="121"/>
      <c r="E39" s="127" t="s">
        <v>18</v>
      </c>
      <c r="F39" s="127"/>
      <c r="G39" s="127"/>
      <c r="H39" s="127"/>
      <c r="I39" s="127"/>
      <c r="J39" s="128"/>
      <c r="K39" s="143">
        <f>SUM(E30:T30)</f>
        <v>0</v>
      </c>
      <c r="L39" s="143"/>
      <c r="M39" s="143"/>
      <c r="N39" s="143"/>
      <c r="O39" s="143"/>
      <c r="P39" s="143"/>
      <c r="Q39" s="143"/>
      <c r="R39" s="143"/>
      <c r="S39" s="144"/>
      <c r="T39" s="145"/>
      <c r="U39" s="50"/>
    </row>
    <row r="40" spans="2:21" s="59" customFormat="1" ht="23.1" customHeight="1" x14ac:dyDescent="0.25">
      <c r="B40" s="122"/>
      <c r="C40" s="123"/>
      <c r="D40" s="123"/>
      <c r="E40" s="129" t="s">
        <v>21</v>
      </c>
      <c r="F40" s="129"/>
      <c r="G40" s="129"/>
      <c r="H40" s="129"/>
      <c r="I40" s="129"/>
      <c r="J40" s="130"/>
      <c r="K40" s="131">
        <f>MIN(K39,ROUNDDOWN(SUM(E30:T30),-1))</f>
        <v>0</v>
      </c>
      <c r="L40" s="131"/>
      <c r="M40" s="131"/>
      <c r="N40" s="131"/>
      <c r="O40" s="131"/>
      <c r="P40" s="131"/>
      <c r="Q40" s="131"/>
      <c r="R40" s="131"/>
      <c r="S40" s="132"/>
      <c r="T40" s="133"/>
      <c r="U40" s="51"/>
    </row>
    <row r="41" spans="2:21" s="59" customFormat="1" ht="23.1" customHeight="1" x14ac:dyDescent="0.25">
      <c r="B41" s="83" t="s">
        <v>51</v>
      </c>
      <c r="C41" s="84"/>
      <c r="D41" s="84"/>
      <c r="E41" s="87" t="s">
        <v>18</v>
      </c>
      <c r="F41" s="87"/>
      <c r="G41" s="87"/>
      <c r="H41" s="87"/>
      <c r="I41" s="87"/>
      <c r="J41" s="88"/>
      <c r="K41" s="89">
        <f>SUM(E31:T31)</f>
        <v>0</v>
      </c>
      <c r="L41" s="89"/>
      <c r="M41" s="89"/>
      <c r="N41" s="89"/>
      <c r="O41" s="89"/>
      <c r="P41" s="89"/>
      <c r="Q41" s="89"/>
      <c r="R41" s="89"/>
      <c r="S41" s="90"/>
      <c r="T41" s="91"/>
      <c r="U41" s="50"/>
    </row>
    <row r="42" spans="2:21" s="59" customFormat="1" ht="23.1" customHeight="1" x14ac:dyDescent="0.25">
      <c r="B42" s="85"/>
      <c r="C42" s="86"/>
      <c r="D42" s="86"/>
      <c r="E42" s="92" t="s">
        <v>21</v>
      </c>
      <c r="F42" s="92"/>
      <c r="G42" s="92"/>
      <c r="H42" s="92"/>
      <c r="I42" s="92"/>
      <c r="J42" s="93"/>
      <c r="K42" s="94">
        <f>MIN(K41,ROUNDDOWN(SUM(E31:T31),-1))</f>
        <v>0</v>
      </c>
      <c r="L42" s="94"/>
      <c r="M42" s="94"/>
      <c r="N42" s="94"/>
      <c r="O42" s="94"/>
      <c r="P42" s="94"/>
      <c r="Q42" s="94"/>
      <c r="R42" s="94"/>
      <c r="S42" s="95"/>
      <c r="T42" s="96"/>
      <c r="U42" s="51"/>
    </row>
    <row r="43" spans="2:21" ht="23.1" customHeight="1" x14ac:dyDescent="0.25">
      <c r="B43" s="69" t="s">
        <v>71</v>
      </c>
      <c r="C43" s="70"/>
      <c r="D43" s="70"/>
      <c r="E43" s="73" t="s">
        <v>18</v>
      </c>
      <c r="F43" s="73"/>
      <c r="G43" s="73"/>
      <c r="H43" s="73"/>
      <c r="I43" s="73"/>
      <c r="J43" s="73"/>
      <c r="K43" s="66">
        <f>SUM(E32:T32)</f>
        <v>0</v>
      </c>
      <c r="L43" s="67"/>
      <c r="M43" s="67"/>
      <c r="N43" s="67"/>
      <c r="O43" s="67"/>
      <c r="P43" s="67"/>
      <c r="Q43" s="67"/>
      <c r="R43" s="67"/>
      <c r="S43" s="67"/>
      <c r="T43" s="68"/>
      <c r="U43" s="52"/>
    </row>
    <row r="44" spans="2:21" ht="23.1" customHeight="1" thickBot="1" x14ac:dyDescent="0.3">
      <c r="B44" s="71"/>
      <c r="C44" s="72"/>
      <c r="D44" s="72"/>
      <c r="E44" s="74" t="s">
        <v>52</v>
      </c>
      <c r="F44" s="74"/>
      <c r="G44" s="74"/>
      <c r="H44" s="74"/>
      <c r="I44" s="74"/>
      <c r="J44" s="75"/>
      <c r="K44" s="109">
        <f>K35-K37-K42</f>
        <v>0</v>
      </c>
      <c r="L44" s="110"/>
      <c r="M44" s="110"/>
      <c r="N44" s="110"/>
      <c r="O44" s="110"/>
      <c r="P44" s="110"/>
      <c r="Q44" s="110"/>
      <c r="R44" s="110"/>
      <c r="S44" s="110"/>
      <c r="T44" s="111"/>
      <c r="U44" s="52"/>
    </row>
    <row r="45" spans="2:21" ht="3" customHeight="1" x14ac:dyDescent="0.25"/>
  </sheetData>
  <sheetProtection algorithmName="SHA-512" hashValue="3dChpEwvk/AhfEV6cTFIOU4cZjCFVqsL8VLZMPzY728s63pSHT85QEi0y8Q9tlstBV2yrwgLIi9KBMHHLWg9uA==" saltValue="U+uOQYT/Fsa98QdfPHoBPA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G29:H29">
    <cfRule type="cellIs" dxfId="10" priority="11" operator="greaterThan">
      <formula>$G$21</formula>
    </cfRule>
  </conditionalFormatting>
  <conditionalFormatting sqref="I29:L29">
    <cfRule type="cellIs" dxfId="9" priority="10" operator="greaterThan">
      <formula>$I$21</formula>
    </cfRule>
  </conditionalFormatting>
  <conditionalFormatting sqref="M29:N29">
    <cfRule type="cellIs" dxfId="8" priority="9" operator="greaterThan">
      <formula>$M$21</formula>
    </cfRule>
  </conditionalFormatting>
  <conditionalFormatting sqref="O29">
    <cfRule type="cellIs" dxfId="7" priority="8" operator="greaterThan">
      <formula>$O$21</formula>
    </cfRule>
  </conditionalFormatting>
  <conditionalFormatting sqref="R29:U29">
    <cfRule type="cellIs" dxfId="6" priority="7" operator="greaterThan">
      <formula>$R$21</formula>
    </cfRule>
  </conditionalFormatting>
  <conditionalFormatting sqref="E30:F30">
    <cfRule type="cellIs" dxfId="5" priority="6" operator="greaterThan">
      <formula>$E$26</formula>
    </cfRule>
  </conditionalFormatting>
  <conditionalFormatting sqref="G30:H30">
    <cfRule type="cellIs" dxfId="4" priority="5" operator="greaterThan">
      <formula>$G$26</formula>
    </cfRule>
  </conditionalFormatting>
  <conditionalFormatting sqref="I30:L30">
    <cfRule type="cellIs" dxfId="3" priority="4" operator="greaterThan">
      <formula>$I$26</formula>
    </cfRule>
  </conditionalFormatting>
  <conditionalFormatting sqref="M30:N30">
    <cfRule type="cellIs" dxfId="2" priority="3" operator="greaterThan">
      <formula>$M$26</formula>
    </cfRule>
  </conditionalFormatting>
  <conditionalFormatting sqref="O30">
    <cfRule type="cellIs" dxfId="1" priority="2" operator="greaterThan">
      <formula>$O$26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>
      <formula1>E29&lt;=E21=TRUE</formula1>
    </dataValidation>
    <dataValidation type="custom" allowBlank="1" showErrorMessage="1" errorTitle="Prekročená výška" error="Výška požadovaného úveru prekročila výšku maximálneho možného úveru." sqref="O30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8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8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Gejdošová, Kamila</cp:lastModifiedBy>
  <cp:lastPrinted>2022-01-31T10:33:32Z</cp:lastPrinted>
  <dcterms:created xsi:type="dcterms:W3CDTF">2017-10-12T13:12:35Z</dcterms:created>
  <dcterms:modified xsi:type="dcterms:W3CDTF">2023-12-14T11:39:54Z</dcterms:modified>
</cp:coreProperties>
</file>