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covne\BA-DS-KN-Priame Zadanie\Nový priečinok\Formular_1_Hodnotiace_harky\"/>
    </mc:Choice>
  </mc:AlternateContent>
  <xr:revisionPtr revIDLastSave="0" documentId="13_ncr:1_{58964C3F-1219-440B-87F7-1FA69B002068}" xr6:coauthVersionLast="47" xr6:coauthVersionMax="47" xr10:uidLastSave="{00000000-0000-0000-0000-000000000000}"/>
  <workbookProtection workbookAlgorithmName="SHA-512" workbookHashValue="/x3m6a3tROp5qo73A/749s/6RhkaT2W5XAn0JZM/it4zefEjoOLVTmgf+ZXdPx5U0IHhk0nSQADUdUp6sMtTFQ==" workbookSaltValue="IKgEz+Sia7Y1M21NwDEziQ==" workbookSpinCount="100000" lockStructure="1"/>
  <bookViews>
    <workbookView xWindow="1050" yWindow="-120" windowWidth="27870" windowHeight="16440" tabRatio="850" firstSheet="2" activeTab="2" xr2:uid="{00000000-000D-0000-FFFF-FFFF00000000}"/>
  </bookViews>
  <sheets>
    <sheet name="Scenáre" sheetId="11" state="hidden" r:id="rId1"/>
    <sheet name="Grafikon" sheetId="6" state="hidden" r:id="rId2"/>
    <sheet name="Spoločnosť" sheetId="15" r:id="rId3"/>
    <sheet name="Súpravy" sheetId="1" r:id="rId4"/>
    <sheet name="Pracovné II" sheetId="2" r:id="rId5"/>
    <sheet name="Pracovné III" sheetId="8" r:id="rId6"/>
    <sheet name="Víkend II" sheetId="3" r:id="rId7"/>
    <sheet name="Víkend III" sheetId="9" r:id="rId8"/>
    <sheet name="Cenová Ponuka II+III" sheetId="10" r:id="rId9"/>
    <sheet name="Vyhodnotenie II+III" sheetId="5" r:id="rId10"/>
    <sheet name="Ocenenie" sheetId="7" state="hidden" r:id="rId11"/>
  </sheets>
  <definedNames>
    <definedName name="_xlnm.Print_Titles" localSheetId="4">'Pracovné II'!$1:$10</definedName>
    <definedName name="_xlnm.Print_Titles" localSheetId="5">'Pracovné III'!$1:$10</definedName>
    <definedName name="_xlnm.Print_Titles" localSheetId="3">Súpravy!$A:$B</definedName>
    <definedName name="_xlnm.Print_Titles" localSheetId="6">'Víkend II'!$1:$10</definedName>
    <definedName name="_xlnm.Print_Titles" localSheetId="7">'Víkend III'!$1:$10</definedName>
    <definedName name="_xlnm.Print_Area" localSheetId="8">'Cenová Ponuka II+III'!$A$1:$K$14</definedName>
    <definedName name="_xlnm.Print_Area" localSheetId="4">'Pracovné II'!$A$1:$O$113</definedName>
    <definedName name="_xlnm.Print_Area" localSheetId="5">'Pracovné III'!$A$1:$O$113</definedName>
    <definedName name="_xlnm.Print_Area" localSheetId="3">Súpravy!$A$1:$S$32</definedName>
    <definedName name="_xlnm.Print_Area" localSheetId="6">'Víkend II'!$A$1:$O$69</definedName>
    <definedName name="_xlnm.Print_Area" localSheetId="7">'Víkend III'!$A$1:$O$69</definedName>
    <definedName name="_xlnm.Print_Area" localSheetId="9">'Vyhodnotenie II+III'!$A$1:$K$34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4" i="9" l="1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43" i="9"/>
  <c r="F3" i="8"/>
  <c r="K3" i="8"/>
  <c r="J3" i="8"/>
  <c r="I3" i="8"/>
  <c r="H3" i="8"/>
  <c r="F3" i="2"/>
  <c r="K3" i="2"/>
  <c r="J3" i="2"/>
  <c r="I3" i="2"/>
  <c r="H3" i="2"/>
  <c r="F3" i="3"/>
  <c r="I3" i="3"/>
  <c r="J3" i="3"/>
  <c r="K3" i="3"/>
  <c r="H3" i="3"/>
  <c r="F3" i="9"/>
  <c r="J3" i="9"/>
  <c r="K3" i="9"/>
  <c r="I3" i="9"/>
  <c r="H3" i="9"/>
  <c r="D1" i="2"/>
  <c r="D1" i="8"/>
  <c r="D1" i="3"/>
  <c r="D1" i="9"/>
  <c r="E1" i="10"/>
  <c r="C1" i="1"/>
  <c r="J9" i="5"/>
  <c r="I9" i="5"/>
  <c r="E9" i="5"/>
  <c r="F9" i="5"/>
  <c r="G9" i="5"/>
  <c r="H9" i="5"/>
  <c r="D9" i="5"/>
  <c r="C1" i="5"/>
  <c r="J1" i="1"/>
  <c r="D12" i="10"/>
  <c r="D9" i="10"/>
  <c r="D10" i="10"/>
  <c r="D7" i="10"/>
  <c r="D8" i="10"/>
  <c r="D6" i="10"/>
  <c r="G11" i="10"/>
  <c r="E11" i="10"/>
  <c r="I11" i="10" s="1"/>
  <c r="F11" i="10" l="1"/>
  <c r="C11" i="10" l="1"/>
  <c r="G13" i="10"/>
  <c r="G16" i="10" s="1"/>
  <c r="E13" i="10"/>
  <c r="E16" i="10" s="1"/>
  <c r="G15" i="10"/>
  <c r="E15" i="10"/>
  <c r="I10" i="10"/>
  <c r="H10" i="10"/>
  <c r="H15" i="10" s="1"/>
  <c r="F10" i="10"/>
  <c r="F15" i="10" s="1"/>
  <c r="H6" i="10"/>
  <c r="H7" i="10"/>
  <c r="H8" i="10"/>
  <c r="H9" i="10"/>
  <c r="I7" i="10"/>
  <c r="F7" i="10"/>
  <c r="F8" i="10"/>
  <c r="D5" i="10"/>
  <c r="I12" i="10"/>
  <c r="H12" i="10"/>
  <c r="F12" i="10"/>
  <c r="F5" i="10"/>
  <c r="H5" i="10"/>
  <c r="F6" i="10"/>
  <c r="F9" i="10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43" i="9"/>
  <c r="C13" i="10" l="1"/>
  <c r="C15" i="10" s="1"/>
  <c r="C16" i="10" s="1"/>
  <c r="D11" i="10"/>
  <c r="D13" i="10" s="1"/>
  <c r="D15" i="10" s="1"/>
  <c r="D16" i="10" s="1"/>
  <c r="I15" i="10"/>
  <c r="H11" i="10"/>
  <c r="I6" i="10"/>
  <c r="I5" i="10"/>
  <c r="Q1" i="7"/>
  <c r="Q2" i="7" s="1"/>
  <c r="N1" i="7"/>
  <c r="N2" i="7" s="1"/>
  <c r="K1" i="7"/>
  <c r="K2" i="7" s="1"/>
  <c r="H1" i="7"/>
  <c r="H2" i="7" s="1"/>
  <c r="B2" i="7"/>
  <c r="B1" i="7"/>
  <c r="E1" i="7"/>
  <c r="E2" i="7" s="1"/>
  <c r="L37" i="9"/>
  <c r="L28" i="9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8" i="1"/>
  <c r="G8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I8" i="10"/>
  <c r="I9" i="10"/>
  <c r="B5" i="7"/>
  <c r="Q13" i="7"/>
  <c r="Q6" i="7"/>
  <c r="Q7" i="7"/>
  <c r="Q20" i="7"/>
  <c r="L65" i="9" l="1"/>
  <c r="L50" i="9"/>
  <c r="L58" i="9"/>
  <c r="L66" i="9"/>
  <c r="L67" i="9"/>
  <c r="L55" i="9"/>
  <c r="L49" i="9"/>
  <c r="L51" i="9"/>
  <c r="L60" i="9"/>
  <c r="L68" i="9"/>
  <c r="L52" i="9"/>
  <c r="L45" i="9"/>
  <c r="L53" i="9"/>
  <c r="L61" i="9"/>
  <c r="L69" i="9"/>
  <c r="L47" i="9"/>
  <c r="L57" i="9"/>
  <c r="L59" i="9"/>
  <c r="L44" i="9"/>
  <c r="L46" i="9"/>
  <c r="L54" i="9"/>
  <c r="L62" i="9"/>
  <c r="L63" i="9"/>
  <c r="L48" i="9"/>
  <c r="L56" i="9"/>
  <c r="L64" i="9"/>
  <c r="L43" i="9"/>
  <c r="E5" i="11" l="1"/>
  <c r="E6" i="11"/>
  <c r="E7" i="11"/>
  <c r="E8" i="11"/>
  <c r="E9" i="11"/>
  <c r="E10" i="11"/>
  <c r="E11" i="11"/>
  <c r="E4" i="11"/>
  <c r="Q17" i="1"/>
  <c r="L17" i="1"/>
  <c r="E17" i="1"/>
  <c r="F17" i="1" s="1"/>
  <c r="Q16" i="1"/>
  <c r="L16" i="1"/>
  <c r="Q15" i="1"/>
  <c r="L15" i="1"/>
  <c r="E15" i="1"/>
  <c r="F15" i="1" s="1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D75" i="7"/>
  <c r="D65" i="7"/>
  <c r="C65" i="7"/>
  <c r="H39" i="7"/>
  <c r="H26" i="7"/>
  <c r="N20" i="7"/>
  <c r="E20" i="7"/>
  <c r="Q10" i="7"/>
  <c r="Q12" i="7" s="1"/>
  <c r="Q14" i="7" s="1"/>
  <c r="Q5" i="7" s="1"/>
  <c r="N10" i="7"/>
  <c r="K10" i="7"/>
  <c r="H10" i="7"/>
  <c r="E10" i="7"/>
  <c r="B10" i="7"/>
  <c r="B24" i="7" s="1"/>
  <c r="C31" i="5"/>
  <c r="C30" i="5"/>
  <c r="C23" i="5"/>
  <c r="C22" i="5"/>
  <c r="C20" i="5"/>
  <c r="C19" i="5"/>
  <c r="D35" i="9"/>
  <c r="L35" i="9" s="1"/>
  <c r="C35" i="9"/>
  <c r="A35" i="9"/>
  <c r="D25" i="9"/>
  <c r="L25" i="9" s="1"/>
  <c r="C25" i="9"/>
  <c r="A25" i="9"/>
  <c r="D15" i="9"/>
  <c r="L15" i="9" s="1"/>
  <c r="C15" i="9"/>
  <c r="A15" i="9"/>
  <c r="D65" i="3"/>
  <c r="L65" i="3" s="1"/>
  <c r="C65" i="3"/>
  <c r="A65" i="3"/>
  <c r="D60" i="3"/>
  <c r="L60" i="3" s="1"/>
  <c r="C60" i="3"/>
  <c r="A60" i="3"/>
  <c r="D59" i="3"/>
  <c r="L59" i="3" s="1"/>
  <c r="C59" i="3"/>
  <c r="A59" i="3"/>
  <c r="D58" i="3"/>
  <c r="L58" i="3" s="1"/>
  <c r="C58" i="3"/>
  <c r="A58" i="3"/>
  <c r="D57" i="3"/>
  <c r="L57" i="3" s="1"/>
  <c r="C57" i="3"/>
  <c r="A57" i="3"/>
  <c r="D56" i="3"/>
  <c r="L56" i="3" s="1"/>
  <c r="C56" i="3"/>
  <c r="A56" i="3"/>
  <c r="D55" i="3"/>
  <c r="L55" i="3" s="1"/>
  <c r="C55" i="3"/>
  <c r="A55" i="3"/>
  <c r="D54" i="3"/>
  <c r="L54" i="3" s="1"/>
  <c r="C54" i="3"/>
  <c r="A54" i="3"/>
  <c r="D53" i="3"/>
  <c r="L53" i="3" s="1"/>
  <c r="C53" i="3"/>
  <c r="A53" i="3"/>
  <c r="D52" i="3"/>
  <c r="L52" i="3" s="1"/>
  <c r="C52" i="3"/>
  <c r="A52" i="3"/>
  <c r="D51" i="3"/>
  <c r="L51" i="3" s="1"/>
  <c r="C51" i="3"/>
  <c r="A51" i="3"/>
  <c r="D45" i="3"/>
  <c r="L45" i="3" s="1"/>
  <c r="C45" i="3"/>
  <c r="A45" i="3"/>
  <c r="D35" i="3"/>
  <c r="L35" i="3" s="1"/>
  <c r="C35" i="3"/>
  <c r="A35" i="3"/>
  <c r="D25" i="3"/>
  <c r="L25" i="3" s="1"/>
  <c r="C25" i="3"/>
  <c r="A25" i="3"/>
  <c r="D15" i="3"/>
  <c r="L15" i="3" s="1"/>
  <c r="C15" i="3"/>
  <c r="A15" i="3"/>
  <c r="D105" i="8"/>
  <c r="L105" i="8" s="1"/>
  <c r="C105" i="8"/>
  <c r="A105" i="8"/>
  <c r="D95" i="8"/>
  <c r="L95" i="8" s="1"/>
  <c r="C95" i="8"/>
  <c r="A95" i="8"/>
  <c r="D85" i="8"/>
  <c r="L85" i="8" s="1"/>
  <c r="C85" i="8"/>
  <c r="A85" i="8"/>
  <c r="D75" i="8"/>
  <c r="L75" i="8" s="1"/>
  <c r="C75" i="8"/>
  <c r="A75" i="8"/>
  <c r="D65" i="8"/>
  <c r="L65" i="8" s="1"/>
  <c r="C65" i="8"/>
  <c r="A65" i="8"/>
  <c r="D60" i="8"/>
  <c r="L60" i="8" s="1"/>
  <c r="C60" i="8"/>
  <c r="A60" i="8"/>
  <c r="D59" i="8"/>
  <c r="L59" i="8" s="1"/>
  <c r="C59" i="8"/>
  <c r="A59" i="8"/>
  <c r="D58" i="8"/>
  <c r="L58" i="8" s="1"/>
  <c r="C58" i="8"/>
  <c r="A58" i="8"/>
  <c r="D57" i="8"/>
  <c r="L57" i="8" s="1"/>
  <c r="C57" i="8"/>
  <c r="A57" i="8"/>
  <c r="D56" i="8"/>
  <c r="L56" i="8" s="1"/>
  <c r="C56" i="8"/>
  <c r="A56" i="8"/>
  <c r="D55" i="8"/>
  <c r="L55" i="8" s="1"/>
  <c r="C55" i="8"/>
  <c r="A55" i="8"/>
  <c r="D54" i="8"/>
  <c r="L54" i="8" s="1"/>
  <c r="C54" i="8"/>
  <c r="A54" i="8"/>
  <c r="D53" i="8"/>
  <c r="L53" i="8" s="1"/>
  <c r="C53" i="8"/>
  <c r="A53" i="8"/>
  <c r="D52" i="8"/>
  <c r="L52" i="8" s="1"/>
  <c r="C52" i="8"/>
  <c r="A52" i="8"/>
  <c r="D51" i="8"/>
  <c r="L51" i="8" s="1"/>
  <c r="C51" i="8"/>
  <c r="A51" i="8"/>
  <c r="D45" i="8"/>
  <c r="L45" i="8" s="1"/>
  <c r="C45" i="8"/>
  <c r="A45" i="8"/>
  <c r="D35" i="8"/>
  <c r="L35" i="8" s="1"/>
  <c r="C35" i="8"/>
  <c r="A35" i="8"/>
  <c r="D25" i="8"/>
  <c r="L25" i="8" s="1"/>
  <c r="C25" i="8"/>
  <c r="A25" i="8"/>
  <c r="D15" i="8"/>
  <c r="L15" i="8" s="1"/>
  <c r="C15" i="8"/>
  <c r="A15" i="8"/>
  <c r="D95" i="2"/>
  <c r="L95" i="2" s="1"/>
  <c r="C95" i="2"/>
  <c r="A95" i="2"/>
  <c r="D85" i="2"/>
  <c r="L85" i="2" s="1"/>
  <c r="C85" i="2"/>
  <c r="A85" i="2"/>
  <c r="D75" i="2"/>
  <c r="L75" i="2" s="1"/>
  <c r="C75" i="2"/>
  <c r="A75" i="2"/>
  <c r="D65" i="2"/>
  <c r="L65" i="2" s="1"/>
  <c r="C65" i="2"/>
  <c r="A65" i="2"/>
  <c r="D60" i="2"/>
  <c r="L60" i="2" s="1"/>
  <c r="C60" i="2"/>
  <c r="A60" i="2"/>
  <c r="D59" i="2"/>
  <c r="L59" i="2" s="1"/>
  <c r="C59" i="2"/>
  <c r="A59" i="2"/>
  <c r="D58" i="2"/>
  <c r="L58" i="2" s="1"/>
  <c r="C58" i="2"/>
  <c r="A58" i="2"/>
  <c r="D57" i="2"/>
  <c r="L57" i="2" s="1"/>
  <c r="C57" i="2"/>
  <c r="A57" i="2"/>
  <c r="D56" i="2"/>
  <c r="L56" i="2" s="1"/>
  <c r="C56" i="2"/>
  <c r="A56" i="2"/>
  <c r="D55" i="2"/>
  <c r="L55" i="2" s="1"/>
  <c r="C55" i="2"/>
  <c r="A55" i="2"/>
  <c r="D54" i="2"/>
  <c r="L54" i="2" s="1"/>
  <c r="C54" i="2"/>
  <c r="A54" i="2"/>
  <c r="D53" i="2"/>
  <c r="L53" i="2" s="1"/>
  <c r="C53" i="2"/>
  <c r="A53" i="2"/>
  <c r="D52" i="2"/>
  <c r="L52" i="2" s="1"/>
  <c r="C52" i="2"/>
  <c r="A52" i="2"/>
  <c r="D51" i="2"/>
  <c r="L51" i="2" s="1"/>
  <c r="C51" i="2"/>
  <c r="A51" i="2"/>
  <c r="D45" i="2"/>
  <c r="L45" i="2" s="1"/>
  <c r="C45" i="2"/>
  <c r="A45" i="2"/>
  <c r="D35" i="2"/>
  <c r="L35" i="2" s="1"/>
  <c r="C35" i="2"/>
  <c r="A35" i="2"/>
  <c r="D25" i="2"/>
  <c r="L25" i="2" s="1"/>
  <c r="C25" i="2"/>
  <c r="A25" i="2"/>
  <c r="D15" i="2"/>
  <c r="L15" i="2" s="1"/>
  <c r="C15" i="2"/>
  <c r="A15" i="2"/>
  <c r="F99" i="6"/>
  <c r="F98" i="6"/>
  <c r="F97" i="6"/>
  <c r="F96" i="6"/>
  <c r="F95" i="6"/>
  <c r="J94" i="6"/>
  <c r="I94" i="6"/>
  <c r="F94" i="6"/>
  <c r="E94" i="6"/>
  <c r="F93" i="6"/>
  <c r="F92" i="6"/>
  <c r="F91" i="6"/>
  <c r="F90" i="6"/>
  <c r="F89" i="6"/>
  <c r="F88" i="6"/>
  <c r="F87" i="6"/>
  <c r="F86" i="6"/>
  <c r="F85" i="6"/>
  <c r="F84" i="6"/>
  <c r="E84" i="6"/>
  <c r="F83" i="6"/>
  <c r="F82" i="6"/>
  <c r="F81" i="6"/>
  <c r="F80" i="6"/>
  <c r="F79" i="6"/>
  <c r="F78" i="6"/>
  <c r="F77" i="6"/>
  <c r="F76" i="6"/>
  <c r="F75" i="6"/>
  <c r="J74" i="6"/>
  <c r="I74" i="6"/>
  <c r="F74" i="6"/>
  <c r="E74" i="6"/>
  <c r="F73" i="6"/>
  <c r="F72" i="6"/>
  <c r="F71" i="6"/>
  <c r="F70" i="6"/>
  <c r="F69" i="6"/>
  <c r="F68" i="6"/>
  <c r="F67" i="6"/>
  <c r="F66" i="6"/>
  <c r="F65" i="6"/>
  <c r="J64" i="6"/>
  <c r="I64" i="6"/>
  <c r="F64" i="6"/>
  <c r="E64" i="6"/>
  <c r="F63" i="6"/>
  <c r="F62" i="6"/>
  <c r="F61" i="6"/>
  <c r="F60" i="6"/>
  <c r="F59" i="6"/>
  <c r="F58" i="6"/>
  <c r="F57" i="6"/>
  <c r="F56" i="6"/>
  <c r="F55" i="6"/>
  <c r="U54" i="6"/>
  <c r="T54" i="6"/>
  <c r="Q54" i="6"/>
  <c r="P54" i="6"/>
  <c r="J54" i="6"/>
  <c r="I54" i="6"/>
  <c r="F54" i="6"/>
  <c r="E54" i="6"/>
  <c r="F52" i="6"/>
  <c r="F51" i="6"/>
  <c r="F50" i="6"/>
  <c r="U49" i="6"/>
  <c r="T49" i="6"/>
  <c r="Q49" i="6"/>
  <c r="P49" i="6"/>
  <c r="J49" i="6"/>
  <c r="I49" i="6"/>
  <c r="F49" i="6"/>
  <c r="E49" i="6"/>
  <c r="U48" i="6"/>
  <c r="T48" i="6"/>
  <c r="Q48" i="6"/>
  <c r="P48" i="6"/>
  <c r="J48" i="6"/>
  <c r="I48" i="6"/>
  <c r="F48" i="6"/>
  <c r="E48" i="6"/>
  <c r="U47" i="6"/>
  <c r="T47" i="6"/>
  <c r="Q47" i="6"/>
  <c r="P47" i="6"/>
  <c r="J47" i="6"/>
  <c r="I47" i="6"/>
  <c r="F47" i="6"/>
  <c r="E47" i="6"/>
  <c r="U46" i="6"/>
  <c r="T46" i="6"/>
  <c r="Q46" i="6"/>
  <c r="P46" i="6"/>
  <c r="J46" i="6"/>
  <c r="I46" i="6"/>
  <c r="F46" i="6"/>
  <c r="E46" i="6"/>
  <c r="U45" i="6"/>
  <c r="T45" i="6"/>
  <c r="Q45" i="6"/>
  <c r="P45" i="6"/>
  <c r="J45" i="6"/>
  <c r="I45" i="6"/>
  <c r="F45" i="6"/>
  <c r="E45" i="6"/>
  <c r="U44" i="6"/>
  <c r="T44" i="6"/>
  <c r="Q44" i="6"/>
  <c r="P44" i="6"/>
  <c r="J44" i="6"/>
  <c r="I44" i="6"/>
  <c r="F44" i="6"/>
  <c r="E44" i="6"/>
  <c r="U43" i="6"/>
  <c r="T43" i="6"/>
  <c r="Q43" i="6"/>
  <c r="P43" i="6"/>
  <c r="J43" i="6"/>
  <c r="I43" i="6"/>
  <c r="F43" i="6"/>
  <c r="E43" i="6"/>
  <c r="U42" i="6"/>
  <c r="T42" i="6"/>
  <c r="Q42" i="6"/>
  <c r="P42" i="6"/>
  <c r="J42" i="6"/>
  <c r="I42" i="6"/>
  <c r="F42" i="6"/>
  <c r="E42" i="6"/>
  <c r="U41" i="6"/>
  <c r="T41" i="6"/>
  <c r="Q41" i="6"/>
  <c r="P41" i="6"/>
  <c r="F41" i="6"/>
  <c r="E41" i="6"/>
  <c r="U40" i="6"/>
  <c r="T40" i="6"/>
  <c r="Q40" i="6"/>
  <c r="P40" i="6"/>
  <c r="J40" i="6"/>
  <c r="I40" i="6"/>
  <c r="F40" i="6"/>
  <c r="E40" i="6"/>
  <c r="F39" i="6"/>
  <c r="F38" i="6"/>
  <c r="F37" i="6"/>
  <c r="F36" i="6"/>
  <c r="F35" i="6"/>
  <c r="U34" i="6"/>
  <c r="T34" i="6"/>
  <c r="Q34" i="6"/>
  <c r="P34" i="6"/>
  <c r="F34" i="6"/>
  <c r="E34" i="6"/>
  <c r="F33" i="6"/>
  <c r="F32" i="6"/>
  <c r="F31" i="6"/>
  <c r="F30" i="6"/>
  <c r="F29" i="6"/>
  <c r="F28" i="6"/>
  <c r="F27" i="6"/>
  <c r="F26" i="6"/>
  <c r="F25" i="6"/>
  <c r="U24" i="6"/>
  <c r="T24" i="6"/>
  <c r="Q24" i="6"/>
  <c r="P24" i="6"/>
  <c r="J24" i="6"/>
  <c r="I24" i="6"/>
  <c r="F24" i="6"/>
  <c r="E24" i="6"/>
  <c r="F23" i="6"/>
  <c r="F22" i="6"/>
  <c r="F21" i="6"/>
  <c r="F20" i="6"/>
  <c r="F19" i="6"/>
  <c r="F18" i="6"/>
  <c r="F17" i="6"/>
  <c r="F16" i="6"/>
  <c r="F15" i="6"/>
  <c r="U14" i="6"/>
  <c r="T14" i="6"/>
  <c r="Q14" i="6"/>
  <c r="P14" i="6"/>
  <c r="J14" i="6"/>
  <c r="I14" i="6"/>
  <c r="F14" i="6"/>
  <c r="E14" i="6"/>
  <c r="F13" i="6"/>
  <c r="F12" i="6"/>
  <c r="F11" i="6"/>
  <c r="F10" i="6"/>
  <c r="F9" i="6"/>
  <c r="F8" i="6"/>
  <c r="F7" i="6"/>
  <c r="F6" i="6"/>
  <c r="F5" i="6"/>
  <c r="Q4" i="6"/>
  <c r="P4" i="6"/>
  <c r="F4" i="6"/>
  <c r="E4" i="6"/>
  <c r="F102" i="6"/>
  <c r="F101" i="6"/>
  <c r="F100" i="6"/>
  <c r="Q25" i="1"/>
  <c r="L25" i="1"/>
  <c r="D105" i="2"/>
  <c r="L105" i="2" s="1"/>
  <c r="C105" i="2"/>
  <c r="A105" i="2"/>
  <c r="C34" i="5"/>
  <c r="C33" i="5"/>
  <c r="D85" i="7"/>
  <c r="A83" i="7"/>
  <c r="D83" i="7"/>
  <c r="A71" i="7"/>
  <c r="D71" i="7"/>
  <c r="D60" i="7"/>
  <c r="C60" i="7"/>
  <c r="E80" i="7"/>
  <c r="E79" i="7"/>
  <c r="E78" i="7"/>
  <c r="E69" i="7"/>
  <c r="E68" i="7"/>
  <c r="E67" i="7"/>
  <c r="E58" i="7"/>
  <c r="E57" i="7"/>
  <c r="E56" i="7"/>
  <c r="C64" i="7"/>
  <c r="D64" i="7"/>
  <c r="D62" i="7"/>
  <c r="D63" i="7"/>
  <c r="D61" i="7"/>
  <c r="C62" i="7"/>
  <c r="C63" i="7"/>
  <c r="C61" i="7"/>
  <c r="D73" i="7"/>
  <c r="D74" i="7"/>
  <c r="D76" i="7"/>
  <c r="D72" i="7"/>
  <c r="D86" i="7"/>
  <c r="D88" i="7"/>
  <c r="D87" i="7"/>
  <c r="D84" i="7"/>
  <c r="D82" i="7"/>
  <c r="G6" i="1"/>
  <c r="P5" i="6"/>
  <c r="Q5" i="6"/>
  <c r="P6" i="6"/>
  <c r="Q6" i="6"/>
  <c r="P7" i="6"/>
  <c r="Q7" i="6"/>
  <c r="P8" i="6"/>
  <c r="Q8" i="6"/>
  <c r="P9" i="6"/>
  <c r="Q9" i="6"/>
  <c r="P10" i="6"/>
  <c r="Q10" i="6"/>
  <c r="P11" i="6"/>
  <c r="Q11" i="6"/>
  <c r="P12" i="6"/>
  <c r="Q12" i="6"/>
  <c r="P13" i="6"/>
  <c r="Q13" i="6"/>
  <c r="P15" i="6"/>
  <c r="Q15" i="6"/>
  <c r="P16" i="6"/>
  <c r="Q16" i="6"/>
  <c r="P17" i="6"/>
  <c r="Q17" i="6"/>
  <c r="P18" i="6"/>
  <c r="Q18" i="6"/>
  <c r="P19" i="6"/>
  <c r="Q19" i="6"/>
  <c r="P20" i="6"/>
  <c r="Q20" i="6"/>
  <c r="P21" i="6"/>
  <c r="Q21" i="6"/>
  <c r="P22" i="6"/>
  <c r="Q22" i="6"/>
  <c r="P23" i="6"/>
  <c r="Q23" i="6"/>
  <c r="P25" i="6"/>
  <c r="Q25" i="6"/>
  <c r="P26" i="6"/>
  <c r="Q26" i="6"/>
  <c r="P27" i="6"/>
  <c r="Q27" i="6"/>
  <c r="P28" i="6"/>
  <c r="Q28" i="6"/>
  <c r="P29" i="6"/>
  <c r="Q29" i="6"/>
  <c r="P30" i="6"/>
  <c r="Q30" i="6"/>
  <c r="P32" i="6"/>
  <c r="Q32" i="6"/>
  <c r="P33" i="6"/>
  <c r="Q33" i="6"/>
  <c r="P35" i="6"/>
  <c r="Q35" i="6"/>
  <c r="P36" i="6"/>
  <c r="Q36" i="6"/>
  <c r="P37" i="6"/>
  <c r="Q37" i="6"/>
  <c r="P38" i="6"/>
  <c r="Q38" i="6"/>
  <c r="P39" i="6"/>
  <c r="Q39" i="6"/>
  <c r="P50" i="6"/>
  <c r="Q50" i="6"/>
  <c r="P51" i="6"/>
  <c r="Q51" i="6"/>
  <c r="P52" i="6"/>
  <c r="Q52" i="6"/>
  <c r="P53" i="6"/>
  <c r="Q53" i="6"/>
  <c r="P55" i="6"/>
  <c r="Q55" i="6"/>
  <c r="P56" i="6"/>
  <c r="Q56" i="6"/>
  <c r="P57" i="6"/>
  <c r="Q57" i="6"/>
  <c r="P58" i="6"/>
  <c r="Q58" i="6"/>
  <c r="E5" i="6"/>
  <c r="E6" i="6"/>
  <c r="E7" i="6"/>
  <c r="E8" i="6"/>
  <c r="E9" i="6"/>
  <c r="E10" i="6"/>
  <c r="E11" i="6"/>
  <c r="E12" i="6"/>
  <c r="E13" i="6"/>
  <c r="E15" i="6"/>
  <c r="E16" i="6"/>
  <c r="E17" i="6"/>
  <c r="E18" i="6"/>
  <c r="E19" i="6"/>
  <c r="E20" i="6"/>
  <c r="E21" i="6"/>
  <c r="E22" i="6"/>
  <c r="E23" i="6"/>
  <c r="E25" i="6"/>
  <c r="E26" i="6"/>
  <c r="E27" i="6"/>
  <c r="E28" i="6"/>
  <c r="E29" i="6"/>
  <c r="E30" i="6"/>
  <c r="E31" i="6"/>
  <c r="E32" i="6"/>
  <c r="E33" i="6"/>
  <c r="E35" i="6"/>
  <c r="E36" i="6"/>
  <c r="E37" i="6"/>
  <c r="E38" i="6"/>
  <c r="E39" i="6"/>
  <c r="E50" i="6"/>
  <c r="E51" i="6"/>
  <c r="E52" i="6"/>
  <c r="E55" i="6"/>
  <c r="E56" i="6"/>
  <c r="E57" i="6"/>
  <c r="E58" i="6"/>
  <c r="E59" i="6"/>
  <c r="E60" i="6"/>
  <c r="E61" i="6"/>
  <c r="E62" i="6"/>
  <c r="E63" i="6"/>
  <c r="E65" i="6"/>
  <c r="E66" i="6"/>
  <c r="E67" i="6"/>
  <c r="E68" i="6"/>
  <c r="E69" i="6"/>
  <c r="E70" i="6"/>
  <c r="E71" i="6"/>
  <c r="E72" i="6"/>
  <c r="E73" i="6"/>
  <c r="E75" i="6"/>
  <c r="E76" i="6"/>
  <c r="E77" i="6"/>
  <c r="E78" i="6"/>
  <c r="E79" i="6"/>
  <c r="E80" i="6"/>
  <c r="E81" i="6"/>
  <c r="E82" i="6"/>
  <c r="E83" i="6"/>
  <c r="E85" i="6"/>
  <c r="E86" i="6"/>
  <c r="E87" i="6"/>
  <c r="E88" i="6"/>
  <c r="E89" i="6"/>
  <c r="E90" i="6"/>
  <c r="E91" i="6"/>
  <c r="E92" i="6"/>
  <c r="E93" i="6"/>
  <c r="E95" i="6"/>
  <c r="E96" i="6"/>
  <c r="E97" i="6"/>
  <c r="E98" i="6"/>
  <c r="E99" i="6"/>
  <c r="E100" i="6"/>
  <c r="E101" i="6"/>
  <c r="E102" i="6"/>
  <c r="I55" i="6"/>
  <c r="J55" i="6"/>
  <c r="I56" i="6"/>
  <c r="J56" i="6"/>
  <c r="I57" i="6"/>
  <c r="J57" i="6"/>
  <c r="I58" i="6"/>
  <c r="J58" i="6"/>
  <c r="I60" i="6"/>
  <c r="J60" i="6"/>
  <c r="I61" i="6"/>
  <c r="J61" i="6"/>
  <c r="I62" i="6"/>
  <c r="J62" i="6"/>
  <c r="I63" i="6"/>
  <c r="J63" i="6"/>
  <c r="I65" i="6"/>
  <c r="J65" i="6"/>
  <c r="I67" i="6"/>
  <c r="J67" i="6"/>
  <c r="I68" i="6"/>
  <c r="J68" i="6"/>
  <c r="I69" i="6"/>
  <c r="J69" i="6"/>
  <c r="I70" i="6"/>
  <c r="J70" i="6"/>
  <c r="I71" i="6"/>
  <c r="J71" i="6"/>
  <c r="I72" i="6"/>
  <c r="J72" i="6"/>
  <c r="I73" i="6"/>
  <c r="J73" i="6"/>
  <c r="I75" i="6"/>
  <c r="J75" i="6"/>
  <c r="I76" i="6"/>
  <c r="J76" i="6"/>
  <c r="I77" i="6"/>
  <c r="J77" i="6"/>
  <c r="I78" i="6"/>
  <c r="J78" i="6"/>
  <c r="I79" i="6"/>
  <c r="J79" i="6"/>
  <c r="I80" i="6"/>
  <c r="J80" i="6"/>
  <c r="I81" i="6"/>
  <c r="J81" i="6"/>
  <c r="I82" i="6"/>
  <c r="J82" i="6"/>
  <c r="I83" i="6"/>
  <c r="J83" i="6"/>
  <c r="I85" i="6"/>
  <c r="J85" i="6"/>
  <c r="I86" i="6"/>
  <c r="J86" i="6"/>
  <c r="I87" i="6"/>
  <c r="J87" i="6"/>
  <c r="I88" i="6"/>
  <c r="J88" i="6"/>
  <c r="I89" i="6"/>
  <c r="J89" i="6"/>
  <c r="I90" i="6"/>
  <c r="J90" i="6"/>
  <c r="I92" i="6"/>
  <c r="J92" i="6"/>
  <c r="I93" i="6"/>
  <c r="J93" i="6"/>
  <c r="I95" i="6"/>
  <c r="J95" i="6"/>
  <c r="I96" i="6"/>
  <c r="J96" i="6"/>
  <c r="I97" i="6"/>
  <c r="J97" i="6"/>
  <c r="I99" i="6"/>
  <c r="J99" i="6"/>
  <c r="I100" i="6"/>
  <c r="J100" i="6"/>
  <c r="I102" i="6"/>
  <c r="J102" i="6"/>
  <c r="T35" i="6"/>
  <c r="U35" i="6"/>
  <c r="T36" i="6"/>
  <c r="U36" i="6"/>
  <c r="T37" i="6"/>
  <c r="U37" i="6"/>
  <c r="T38" i="6"/>
  <c r="U38" i="6"/>
  <c r="T39" i="6"/>
  <c r="U39" i="6"/>
  <c r="T50" i="6"/>
  <c r="U50" i="6"/>
  <c r="T51" i="6"/>
  <c r="U51" i="6"/>
  <c r="T52" i="6"/>
  <c r="U52" i="6"/>
  <c r="T53" i="6"/>
  <c r="U53" i="6"/>
  <c r="T55" i="6"/>
  <c r="U55" i="6"/>
  <c r="T56" i="6"/>
  <c r="U56" i="6"/>
  <c r="T57" i="6"/>
  <c r="U57" i="6"/>
  <c r="T58" i="6"/>
  <c r="U58" i="6"/>
  <c r="U32" i="6"/>
  <c r="T32" i="6"/>
  <c r="G53" i="2"/>
  <c r="H53" i="2" s="1"/>
  <c r="D41" i="9"/>
  <c r="L41" i="9" s="1"/>
  <c r="C41" i="9"/>
  <c r="A41" i="9"/>
  <c r="D40" i="9"/>
  <c r="L40" i="9" s="1"/>
  <c r="C40" i="9"/>
  <c r="A40" i="9"/>
  <c r="D39" i="9"/>
  <c r="L39" i="9" s="1"/>
  <c r="C39" i="9"/>
  <c r="A39" i="9"/>
  <c r="D38" i="9"/>
  <c r="L38" i="9" s="1"/>
  <c r="C38" i="9"/>
  <c r="A38" i="9"/>
  <c r="C37" i="9"/>
  <c r="A37" i="9"/>
  <c r="D36" i="9"/>
  <c r="L36" i="9" s="1"/>
  <c r="C36" i="9"/>
  <c r="A36" i="9"/>
  <c r="D34" i="9"/>
  <c r="L34" i="9" s="1"/>
  <c r="C34" i="9"/>
  <c r="A34" i="9"/>
  <c r="D33" i="9"/>
  <c r="L33" i="9" s="1"/>
  <c r="C33" i="9"/>
  <c r="A33" i="9"/>
  <c r="D32" i="9"/>
  <c r="L32" i="9" s="1"/>
  <c r="C32" i="9"/>
  <c r="A32" i="9"/>
  <c r="D31" i="9"/>
  <c r="L31" i="9" s="1"/>
  <c r="C31" i="9"/>
  <c r="A31" i="9"/>
  <c r="D30" i="9"/>
  <c r="L30" i="9" s="1"/>
  <c r="C30" i="9"/>
  <c r="A30" i="9"/>
  <c r="D29" i="9"/>
  <c r="L29" i="9" s="1"/>
  <c r="C29" i="9"/>
  <c r="A29" i="9"/>
  <c r="C28" i="9"/>
  <c r="A28" i="9"/>
  <c r="D27" i="9"/>
  <c r="L27" i="9" s="1"/>
  <c r="C27" i="9"/>
  <c r="A27" i="9"/>
  <c r="D26" i="9"/>
  <c r="L26" i="9" s="1"/>
  <c r="C26" i="9"/>
  <c r="A26" i="9"/>
  <c r="D24" i="9"/>
  <c r="L24" i="9" s="1"/>
  <c r="C24" i="9"/>
  <c r="A24" i="9"/>
  <c r="D23" i="9"/>
  <c r="L23" i="9" s="1"/>
  <c r="C23" i="9"/>
  <c r="A23" i="9"/>
  <c r="D22" i="9"/>
  <c r="L22" i="9" s="1"/>
  <c r="C22" i="9"/>
  <c r="A22" i="9"/>
  <c r="D21" i="9"/>
  <c r="L21" i="9" s="1"/>
  <c r="C21" i="9"/>
  <c r="A21" i="9"/>
  <c r="D20" i="9"/>
  <c r="L20" i="9" s="1"/>
  <c r="C20" i="9"/>
  <c r="A20" i="9"/>
  <c r="D19" i="9"/>
  <c r="L19" i="9" s="1"/>
  <c r="C19" i="9"/>
  <c r="A19" i="9"/>
  <c r="D18" i="9"/>
  <c r="L18" i="9" s="1"/>
  <c r="C18" i="9"/>
  <c r="A18" i="9"/>
  <c r="D17" i="9"/>
  <c r="L17" i="9" s="1"/>
  <c r="C17" i="9"/>
  <c r="A17" i="9"/>
  <c r="D16" i="9"/>
  <c r="L16" i="9" s="1"/>
  <c r="C16" i="9"/>
  <c r="A16" i="9"/>
  <c r="D113" i="8"/>
  <c r="L113" i="8" s="1"/>
  <c r="C113" i="8"/>
  <c r="A113" i="8"/>
  <c r="D112" i="8"/>
  <c r="L112" i="8" s="1"/>
  <c r="C112" i="8"/>
  <c r="A112" i="8"/>
  <c r="D111" i="8"/>
  <c r="L111" i="8" s="1"/>
  <c r="C111" i="8"/>
  <c r="A111" i="8"/>
  <c r="D110" i="8"/>
  <c r="L110" i="8" s="1"/>
  <c r="C110" i="8"/>
  <c r="A110" i="8"/>
  <c r="D109" i="8"/>
  <c r="L109" i="8" s="1"/>
  <c r="C109" i="8"/>
  <c r="A109" i="8"/>
  <c r="D108" i="8"/>
  <c r="L108" i="8" s="1"/>
  <c r="C108" i="8"/>
  <c r="A108" i="8"/>
  <c r="D107" i="8"/>
  <c r="L107" i="8" s="1"/>
  <c r="C107" i="8"/>
  <c r="A107" i="8"/>
  <c r="D106" i="8"/>
  <c r="L106" i="8" s="1"/>
  <c r="C106" i="8"/>
  <c r="A106" i="8"/>
  <c r="D104" i="8"/>
  <c r="L104" i="8" s="1"/>
  <c r="C104" i="8"/>
  <c r="A104" i="8"/>
  <c r="D103" i="8"/>
  <c r="L103" i="8" s="1"/>
  <c r="C103" i="8"/>
  <c r="A103" i="8"/>
  <c r="D102" i="8"/>
  <c r="L102" i="8" s="1"/>
  <c r="C102" i="8"/>
  <c r="A102" i="8"/>
  <c r="D101" i="8"/>
  <c r="L101" i="8" s="1"/>
  <c r="C101" i="8"/>
  <c r="A101" i="8"/>
  <c r="D100" i="8"/>
  <c r="L100" i="8" s="1"/>
  <c r="C100" i="8"/>
  <c r="A100" i="8"/>
  <c r="D99" i="8"/>
  <c r="L99" i="8" s="1"/>
  <c r="C99" i="8"/>
  <c r="A99" i="8"/>
  <c r="D98" i="8"/>
  <c r="L98" i="8" s="1"/>
  <c r="C98" i="8"/>
  <c r="A98" i="8"/>
  <c r="D97" i="8"/>
  <c r="L97" i="8" s="1"/>
  <c r="C97" i="8"/>
  <c r="A97" i="8"/>
  <c r="D96" i="8"/>
  <c r="L96" i="8" s="1"/>
  <c r="C96" i="8"/>
  <c r="A96" i="8"/>
  <c r="D94" i="8"/>
  <c r="L94" i="8" s="1"/>
  <c r="C94" i="8"/>
  <c r="A94" i="8"/>
  <c r="D93" i="8"/>
  <c r="L93" i="8" s="1"/>
  <c r="C93" i="8"/>
  <c r="A93" i="8"/>
  <c r="D92" i="8"/>
  <c r="L92" i="8" s="1"/>
  <c r="C92" i="8"/>
  <c r="A92" i="8"/>
  <c r="D91" i="8"/>
  <c r="L91" i="8" s="1"/>
  <c r="C91" i="8"/>
  <c r="A91" i="8"/>
  <c r="D90" i="8"/>
  <c r="L90" i="8" s="1"/>
  <c r="C90" i="8"/>
  <c r="A90" i="8"/>
  <c r="D89" i="8"/>
  <c r="L89" i="8" s="1"/>
  <c r="C89" i="8"/>
  <c r="A89" i="8"/>
  <c r="D88" i="8"/>
  <c r="L88" i="8" s="1"/>
  <c r="C88" i="8"/>
  <c r="A88" i="8"/>
  <c r="D87" i="8"/>
  <c r="L87" i="8" s="1"/>
  <c r="C87" i="8"/>
  <c r="A87" i="8"/>
  <c r="D86" i="8"/>
  <c r="L86" i="8" s="1"/>
  <c r="C86" i="8"/>
  <c r="A86" i="8"/>
  <c r="D84" i="8"/>
  <c r="L84" i="8" s="1"/>
  <c r="C84" i="8"/>
  <c r="A84" i="8"/>
  <c r="D83" i="8"/>
  <c r="L83" i="8" s="1"/>
  <c r="C83" i="8"/>
  <c r="A83" i="8"/>
  <c r="D82" i="8"/>
  <c r="L82" i="8" s="1"/>
  <c r="C82" i="8"/>
  <c r="A82" i="8"/>
  <c r="D81" i="8"/>
  <c r="L81" i="8" s="1"/>
  <c r="C81" i="8"/>
  <c r="A81" i="8"/>
  <c r="D80" i="8"/>
  <c r="L80" i="8" s="1"/>
  <c r="C80" i="8"/>
  <c r="A80" i="8"/>
  <c r="D79" i="8"/>
  <c r="L79" i="8" s="1"/>
  <c r="C79" i="8"/>
  <c r="A79" i="8"/>
  <c r="D78" i="8"/>
  <c r="L78" i="8" s="1"/>
  <c r="C78" i="8"/>
  <c r="A78" i="8"/>
  <c r="D77" i="8"/>
  <c r="L77" i="8" s="1"/>
  <c r="C77" i="8"/>
  <c r="A77" i="8"/>
  <c r="D76" i="8"/>
  <c r="L76" i="8" s="1"/>
  <c r="C76" i="8"/>
  <c r="A76" i="8"/>
  <c r="D74" i="8"/>
  <c r="L74" i="8" s="1"/>
  <c r="C74" i="8"/>
  <c r="A74" i="8"/>
  <c r="D73" i="8"/>
  <c r="L73" i="8" s="1"/>
  <c r="C73" i="8"/>
  <c r="A73" i="8"/>
  <c r="D72" i="8"/>
  <c r="L72" i="8" s="1"/>
  <c r="C72" i="8"/>
  <c r="A72" i="8"/>
  <c r="D71" i="8"/>
  <c r="L71" i="8" s="1"/>
  <c r="C71" i="8"/>
  <c r="A71" i="8"/>
  <c r="D70" i="8"/>
  <c r="L70" i="8" s="1"/>
  <c r="C70" i="8"/>
  <c r="A70" i="8"/>
  <c r="D69" i="8"/>
  <c r="L69" i="8" s="1"/>
  <c r="C69" i="8"/>
  <c r="A69" i="8"/>
  <c r="D68" i="8"/>
  <c r="L68" i="8" s="1"/>
  <c r="C68" i="8"/>
  <c r="A68" i="8"/>
  <c r="D67" i="8"/>
  <c r="L67" i="8" s="1"/>
  <c r="C67" i="8"/>
  <c r="A67" i="8"/>
  <c r="D66" i="8"/>
  <c r="L66" i="8" s="1"/>
  <c r="C66" i="8"/>
  <c r="A66" i="8"/>
  <c r="D63" i="8"/>
  <c r="L63" i="8" s="1"/>
  <c r="C63" i="8"/>
  <c r="A63" i="8"/>
  <c r="D62" i="8"/>
  <c r="L62" i="8" s="1"/>
  <c r="C62" i="8"/>
  <c r="A62" i="8"/>
  <c r="D61" i="8"/>
  <c r="L61" i="8" s="1"/>
  <c r="C61" i="8"/>
  <c r="A61" i="8"/>
  <c r="D50" i="8"/>
  <c r="L50" i="8" s="1"/>
  <c r="C50" i="8"/>
  <c r="A50" i="8"/>
  <c r="D49" i="8"/>
  <c r="L49" i="8" s="1"/>
  <c r="C49" i="8"/>
  <c r="A49" i="8"/>
  <c r="D48" i="8"/>
  <c r="L48" i="8" s="1"/>
  <c r="C48" i="8"/>
  <c r="A48" i="8"/>
  <c r="D47" i="8"/>
  <c r="L47" i="8" s="1"/>
  <c r="C47" i="8"/>
  <c r="A47" i="8"/>
  <c r="D46" i="8"/>
  <c r="L46" i="8" s="1"/>
  <c r="C46" i="8"/>
  <c r="A46" i="8"/>
  <c r="D44" i="8"/>
  <c r="L44" i="8" s="1"/>
  <c r="C44" i="8"/>
  <c r="A44" i="8"/>
  <c r="D43" i="8"/>
  <c r="L43" i="8" s="1"/>
  <c r="C43" i="8"/>
  <c r="A43" i="8"/>
  <c r="D42" i="8"/>
  <c r="L42" i="8" s="1"/>
  <c r="C42" i="8"/>
  <c r="A42" i="8"/>
  <c r="D41" i="8"/>
  <c r="L41" i="8" s="1"/>
  <c r="C41" i="8"/>
  <c r="A41" i="8"/>
  <c r="D40" i="8"/>
  <c r="L40" i="8" s="1"/>
  <c r="C40" i="8"/>
  <c r="A40" i="8"/>
  <c r="D39" i="8"/>
  <c r="L39" i="8" s="1"/>
  <c r="C39" i="8"/>
  <c r="A39" i="8"/>
  <c r="D38" i="8"/>
  <c r="L38" i="8" s="1"/>
  <c r="C38" i="8"/>
  <c r="A38" i="8"/>
  <c r="D37" i="8"/>
  <c r="L37" i="8" s="1"/>
  <c r="C37" i="8"/>
  <c r="A37" i="8"/>
  <c r="D36" i="8"/>
  <c r="L36" i="8" s="1"/>
  <c r="C36" i="8"/>
  <c r="A36" i="8"/>
  <c r="D34" i="8"/>
  <c r="L34" i="8" s="1"/>
  <c r="C34" i="8"/>
  <c r="A34" i="8"/>
  <c r="D33" i="8"/>
  <c r="L33" i="8" s="1"/>
  <c r="C33" i="8"/>
  <c r="A33" i="8"/>
  <c r="D32" i="8"/>
  <c r="L32" i="8" s="1"/>
  <c r="C32" i="8"/>
  <c r="A32" i="8"/>
  <c r="D31" i="8"/>
  <c r="L31" i="8" s="1"/>
  <c r="C31" i="8"/>
  <c r="A31" i="8"/>
  <c r="D30" i="8"/>
  <c r="L30" i="8" s="1"/>
  <c r="C30" i="8"/>
  <c r="A30" i="8"/>
  <c r="D29" i="8"/>
  <c r="L29" i="8" s="1"/>
  <c r="C29" i="8"/>
  <c r="A29" i="8"/>
  <c r="D28" i="8"/>
  <c r="L28" i="8" s="1"/>
  <c r="C28" i="8"/>
  <c r="A28" i="8"/>
  <c r="D27" i="8"/>
  <c r="L27" i="8" s="1"/>
  <c r="C27" i="8"/>
  <c r="A27" i="8"/>
  <c r="D26" i="8"/>
  <c r="L26" i="8" s="1"/>
  <c r="C26" i="8"/>
  <c r="A26" i="8"/>
  <c r="D24" i="8"/>
  <c r="L24" i="8" s="1"/>
  <c r="C24" i="8"/>
  <c r="A24" i="8"/>
  <c r="D23" i="8"/>
  <c r="L23" i="8" s="1"/>
  <c r="C23" i="8"/>
  <c r="A23" i="8"/>
  <c r="D22" i="8"/>
  <c r="L22" i="8" s="1"/>
  <c r="C22" i="8"/>
  <c r="A22" i="8"/>
  <c r="D21" i="8"/>
  <c r="L21" i="8" s="1"/>
  <c r="C21" i="8"/>
  <c r="A21" i="8"/>
  <c r="D20" i="8"/>
  <c r="L20" i="8" s="1"/>
  <c r="C20" i="8"/>
  <c r="A20" i="8"/>
  <c r="D19" i="8"/>
  <c r="L19" i="8" s="1"/>
  <c r="C19" i="8"/>
  <c r="A19" i="8"/>
  <c r="D18" i="8"/>
  <c r="L18" i="8" s="1"/>
  <c r="C18" i="8"/>
  <c r="A18" i="8"/>
  <c r="D17" i="8"/>
  <c r="L17" i="8" s="1"/>
  <c r="C17" i="8"/>
  <c r="A17" i="8"/>
  <c r="D16" i="8"/>
  <c r="L16" i="8" s="1"/>
  <c r="C16" i="8"/>
  <c r="A16" i="8"/>
  <c r="G65" i="2" l="1"/>
  <c r="H65" i="2" s="1"/>
  <c r="G55" i="2"/>
  <c r="H55" i="2" s="1"/>
  <c r="G57" i="2"/>
  <c r="H57" i="2" s="1"/>
  <c r="G45" i="2"/>
  <c r="H45" i="2" s="1"/>
  <c r="G95" i="2"/>
  <c r="H95" i="2" s="1"/>
  <c r="G85" i="2"/>
  <c r="H85" i="2" s="1"/>
  <c r="G15" i="2"/>
  <c r="H15" i="2" s="1"/>
  <c r="G52" i="2"/>
  <c r="H52" i="2" s="1"/>
  <c r="G75" i="2"/>
  <c r="H75" i="2" s="1"/>
  <c r="G60" i="2"/>
  <c r="H60" i="2" s="1"/>
  <c r="G56" i="2"/>
  <c r="H56" i="2" s="1"/>
  <c r="B30" i="5"/>
  <c r="B34" i="5"/>
  <c r="B31" i="5"/>
  <c r="G59" i="2"/>
  <c r="H59" i="2" s="1"/>
  <c r="G58" i="2"/>
  <c r="H58" i="2" s="1"/>
  <c r="G25" i="2"/>
  <c r="H25" i="2" s="1"/>
  <c r="B33" i="5"/>
  <c r="G9" i="1"/>
  <c r="I9" i="1"/>
  <c r="G10" i="1"/>
  <c r="I10" i="1"/>
  <c r="G7" i="1"/>
  <c r="I7" i="1"/>
  <c r="E83" i="7"/>
  <c r="E82" i="7" s="1"/>
  <c r="E75" i="7"/>
  <c r="I6" i="1"/>
  <c r="G35" i="2"/>
  <c r="H35" i="2" s="1"/>
  <c r="G17" i="8"/>
  <c r="G25" i="8"/>
  <c r="G33" i="8"/>
  <c r="G41" i="8"/>
  <c r="G49" i="8"/>
  <c r="H49" i="8" s="1"/>
  <c r="G57" i="8"/>
  <c r="G66" i="8"/>
  <c r="G74" i="8"/>
  <c r="G82" i="8"/>
  <c r="G90" i="8"/>
  <c r="G98" i="8"/>
  <c r="G106" i="8"/>
  <c r="G15" i="3"/>
  <c r="G63" i="9"/>
  <c r="G55" i="9"/>
  <c r="I47" i="9"/>
  <c r="G47" i="9"/>
  <c r="H47" i="9" s="1"/>
  <c r="G38" i="9"/>
  <c r="G30" i="9"/>
  <c r="G22" i="9"/>
  <c r="G60" i="3"/>
  <c r="G52" i="3"/>
  <c r="G35" i="3"/>
  <c r="G18" i="8"/>
  <c r="G50" i="8"/>
  <c r="H50" i="8" s="1"/>
  <c r="G83" i="8"/>
  <c r="H83" i="8" s="1"/>
  <c r="G54" i="9"/>
  <c r="G21" i="9"/>
  <c r="G19" i="8"/>
  <c r="G27" i="8"/>
  <c r="G35" i="8"/>
  <c r="G43" i="8"/>
  <c r="G51" i="8"/>
  <c r="G59" i="8"/>
  <c r="G68" i="8"/>
  <c r="G76" i="8"/>
  <c r="G84" i="8"/>
  <c r="G92" i="8"/>
  <c r="G100" i="8"/>
  <c r="G108" i="8"/>
  <c r="G69" i="9"/>
  <c r="G61" i="9"/>
  <c r="G53" i="9"/>
  <c r="G45" i="9"/>
  <c r="G36" i="9"/>
  <c r="G28" i="9"/>
  <c r="H28" i="9" s="1"/>
  <c r="G20" i="9"/>
  <c r="G58" i="3"/>
  <c r="G25" i="3"/>
  <c r="G34" i="8"/>
  <c r="G67" i="8"/>
  <c r="H67" i="8" s="1"/>
  <c r="G91" i="8"/>
  <c r="G15" i="9"/>
  <c r="G29" i="9"/>
  <c r="G59" i="3"/>
  <c r="G51" i="2"/>
  <c r="H51" i="2" s="1"/>
  <c r="G20" i="8"/>
  <c r="G28" i="8"/>
  <c r="G36" i="8"/>
  <c r="G44" i="8"/>
  <c r="G52" i="8"/>
  <c r="G60" i="8"/>
  <c r="I69" i="8"/>
  <c r="G69" i="8"/>
  <c r="G77" i="8"/>
  <c r="G85" i="8"/>
  <c r="G93" i="8"/>
  <c r="G101" i="8"/>
  <c r="G109" i="8"/>
  <c r="G68" i="9"/>
  <c r="G60" i="9"/>
  <c r="G52" i="9"/>
  <c r="G44" i="9"/>
  <c r="H44" i="9" s="1"/>
  <c r="G35" i="9"/>
  <c r="G27" i="9"/>
  <c r="G19" i="9"/>
  <c r="G65" i="3"/>
  <c r="G57" i="3"/>
  <c r="G42" i="8"/>
  <c r="H42" i="8" s="1"/>
  <c r="G58" i="8"/>
  <c r="H58" i="8" s="1"/>
  <c r="G99" i="8"/>
  <c r="G62" i="9"/>
  <c r="G37" i="9"/>
  <c r="H37" i="9" s="1"/>
  <c r="G51" i="3"/>
  <c r="G21" i="8"/>
  <c r="G29" i="8"/>
  <c r="G37" i="8"/>
  <c r="G45" i="8"/>
  <c r="G53" i="8"/>
  <c r="G61" i="8"/>
  <c r="G70" i="8"/>
  <c r="G78" i="8"/>
  <c r="G86" i="8"/>
  <c r="G94" i="8"/>
  <c r="G102" i="8"/>
  <c r="G110" i="8"/>
  <c r="G67" i="9"/>
  <c r="H67" i="9" s="1"/>
  <c r="G59" i="9"/>
  <c r="I51" i="9"/>
  <c r="G51" i="9"/>
  <c r="G43" i="9"/>
  <c r="H43" i="9" s="1"/>
  <c r="G34" i="9"/>
  <c r="G26" i="9"/>
  <c r="G18" i="9"/>
  <c r="G56" i="3"/>
  <c r="G26" i="8"/>
  <c r="H26" i="8" s="1"/>
  <c r="G75" i="8"/>
  <c r="G107" i="8"/>
  <c r="G46" i="9"/>
  <c r="G22" i="8"/>
  <c r="G30" i="8"/>
  <c r="G38" i="8"/>
  <c r="G46" i="8"/>
  <c r="G54" i="8"/>
  <c r="G62" i="8"/>
  <c r="G71" i="8"/>
  <c r="G79" i="8"/>
  <c r="G87" i="8"/>
  <c r="G95" i="8"/>
  <c r="G103" i="8"/>
  <c r="G111" i="8"/>
  <c r="G66" i="9"/>
  <c r="G58" i="9"/>
  <c r="G50" i="9"/>
  <c r="G41" i="9"/>
  <c r="H41" i="9" s="1"/>
  <c r="G33" i="9"/>
  <c r="G25" i="9"/>
  <c r="G17" i="9"/>
  <c r="G55" i="3"/>
  <c r="G15" i="8"/>
  <c r="G23" i="8"/>
  <c r="G31" i="8"/>
  <c r="G39" i="8"/>
  <c r="G47" i="8"/>
  <c r="H47" i="8" s="1"/>
  <c r="G55" i="8"/>
  <c r="G63" i="8"/>
  <c r="G72" i="8"/>
  <c r="G80" i="8"/>
  <c r="G88" i="8"/>
  <c r="G96" i="8"/>
  <c r="G104" i="8"/>
  <c r="H104" i="8" s="1"/>
  <c r="G112" i="8"/>
  <c r="G65" i="9"/>
  <c r="G57" i="9"/>
  <c r="G49" i="9"/>
  <c r="H49" i="9" s="1"/>
  <c r="G40" i="9"/>
  <c r="H40" i="9" s="1"/>
  <c r="G32" i="9"/>
  <c r="G24" i="9"/>
  <c r="H24" i="9" s="1"/>
  <c r="G16" i="9"/>
  <c r="G54" i="3"/>
  <c r="G16" i="8"/>
  <c r="G24" i="8"/>
  <c r="H24" i="8" s="1"/>
  <c r="G32" i="8"/>
  <c r="G40" i="8"/>
  <c r="G48" i="8"/>
  <c r="H48" i="8" s="1"/>
  <c r="G56" i="8"/>
  <c r="G65" i="8"/>
  <c r="I73" i="8"/>
  <c r="G73" i="8"/>
  <c r="G81" i="8"/>
  <c r="G89" i="8"/>
  <c r="G97" i="8"/>
  <c r="G105" i="8"/>
  <c r="G113" i="8"/>
  <c r="G64" i="9"/>
  <c r="H64" i="9" s="1"/>
  <c r="G56" i="9"/>
  <c r="G48" i="9"/>
  <c r="G39" i="9"/>
  <c r="G31" i="9"/>
  <c r="G23" i="9"/>
  <c r="G53" i="3"/>
  <c r="G45" i="3"/>
  <c r="H45" i="3" s="1"/>
  <c r="E35" i="7"/>
  <c r="E72" i="7"/>
  <c r="G105" i="2"/>
  <c r="H105" i="2" s="1"/>
  <c r="G54" i="2"/>
  <c r="H54" i="2" s="1"/>
  <c r="E25" i="1"/>
  <c r="F25" i="1" s="1"/>
  <c r="E16" i="1"/>
  <c r="F16" i="1" s="1"/>
  <c r="E85" i="7"/>
  <c r="E71" i="7"/>
  <c r="E84" i="7"/>
  <c r="E76" i="7"/>
  <c r="E88" i="7"/>
  <c r="E87" i="7"/>
  <c r="E74" i="7"/>
  <c r="E86" i="7"/>
  <c r="E73" i="7"/>
  <c r="E60" i="7"/>
  <c r="M45" i="2" l="1"/>
  <c r="N45" i="2" s="1"/>
  <c r="M15" i="2"/>
  <c r="N15" i="2" s="1"/>
  <c r="B32" i="5"/>
  <c r="B29" i="5"/>
  <c r="M57" i="9"/>
  <c r="N57" i="9" s="1"/>
  <c r="H57" i="9"/>
  <c r="M96" i="8"/>
  <c r="N96" i="8" s="1"/>
  <c r="H96" i="8"/>
  <c r="M63" i="8"/>
  <c r="N63" i="8" s="1"/>
  <c r="H63" i="8"/>
  <c r="M31" i="8"/>
  <c r="N31" i="8" s="1"/>
  <c r="H31" i="8"/>
  <c r="M111" i="8"/>
  <c r="N111" i="8" s="1"/>
  <c r="H111" i="8"/>
  <c r="M79" i="8"/>
  <c r="N79" i="8" s="1"/>
  <c r="H79" i="8"/>
  <c r="M46" i="8"/>
  <c r="N46" i="8" s="1"/>
  <c r="H46" i="8"/>
  <c r="M18" i="9"/>
  <c r="N18" i="9" s="1"/>
  <c r="H18" i="9"/>
  <c r="M51" i="9"/>
  <c r="N51" i="9" s="1"/>
  <c r="H51" i="9"/>
  <c r="M62" i="9"/>
  <c r="N62" i="9" s="1"/>
  <c r="H62" i="9"/>
  <c r="M93" i="8"/>
  <c r="N93" i="8" s="1"/>
  <c r="H93" i="8"/>
  <c r="M20" i="9"/>
  <c r="N20" i="9" s="1"/>
  <c r="H20" i="9"/>
  <c r="M53" i="9"/>
  <c r="N53" i="9" s="1"/>
  <c r="H53" i="9"/>
  <c r="M100" i="8"/>
  <c r="N100" i="8" s="1"/>
  <c r="H100" i="8"/>
  <c r="M68" i="8"/>
  <c r="N68" i="8" s="1"/>
  <c r="H68" i="8"/>
  <c r="M35" i="8"/>
  <c r="N35" i="8" s="1"/>
  <c r="H35" i="8"/>
  <c r="M106" i="8"/>
  <c r="N106" i="8" s="1"/>
  <c r="H106" i="8"/>
  <c r="M74" i="8"/>
  <c r="N74" i="8" s="1"/>
  <c r="H74" i="8"/>
  <c r="M41" i="8"/>
  <c r="N41" i="8" s="1"/>
  <c r="H41" i="8"/>
  <c r="M23" i="8"/>
  <c r="N23" i="8" s="1"/>
  <c r="H23" i="8"/>
  <c r="M17" i="9"/>
  <c r="N17" i="9" s="1"/>
  <c r="H17" i="9"/>
  <c r="M50" i="9"/>
  <c r="N50" i="9" s="1"/>
  <c r="H50" i="9"/>
  <c r="M38" i="8"/>
  <c r="N38" i="8" s="1"/>
  <c r="H38" i="8"/>
  <c r="M75" i="8"/>
  <c r="N75" i="8" s="1"/>
  <c r="H75" i="8"/>
  <c r="M78" i="8"/>
  <c r="N78" i="8" s="1"/>
  <c r="H78" i="8"/>
  <c r="M45" i="8"/>
  <c r="N45" i="8" s="1"/>
  <c r="H45" i="8"/>
  <c r="M27" i="9"/>
  <c r="N27" i="9" s="1"/>
  <c r="H27" i="9"/>
  <c r="M60" i="9"/>
  <c r="N60" i="9" s="1"/>
  <c r="H60" i="9"/>
  <c r="M27" i="8"/>
  <c r="N27" i="8" s="1"/>
  <c r="H27" i="8"/>
  <c r="M54" i="9"/>
  <c r="N54" i="9" s="1"/>
  <c r="H54" i="9"/>
  <c r="M52" i="3"/>
  <c r="N52" i="3" s="1"/>
  <c r="H52" i="3"/>
  <c r="M30" i="9"/>
  <c r="N30" i="9" s="1"/>
  <c r="H30" i="9"/>
  <c r="M26" i="9"/>
  <c r="N26" i="9" s="1"/>
  <c r="H26" i="9"/>
  <c r="M55" i="9"/>
  <c r="N55" i="9" s="1"/>
  <c r="H55" i="9"/>
  <c r="M98" i="8"/>
  <c r="N98" i="8" s="1"/>
  <c r="H98" i="8"/>
  <c r="M66" i="8"/>
  <c r="N66" i="8" s="1"/>
  <c r="H66" i="8"/>
  <c r="M33" i="8"/>
  <c r="N33" i="8" s="1"/>
  <c r="H33" i="8"/>
  <c r="M16" i="8"/>
  <c r="N16" i="8" s="1"/>
  <c r="H16" i="8"/>
  <c r="M40" i="8"/>
  <c r="N40" i="8" s="1"/>
  <c r="H40" i="8"/>
  <c r="M55" i="8"/>
  <c r="N55" i="8" s="1"/>
  <c r="H55" i="8"/>
  <c r="M36" i="8"/>
  <c r="N36" i="8" s="1"/>
  <c r="H36" i="8"/>
  <c r="M26" i="8"/>
  <c r="N26" i="8" s="1"/>
  <c r="M31" i="9"/>
  <c r="N31" i="9" s="1"/>
  <c r="H31" i="9"/>
  <c r="M30" i="8"/>
  <c r="N30" i="8" s="1"/>
  <c r="H30" i="8"/>
  <c r="M37" i="8"/>
  <c r="N37" i="8" s="1"/>
  <c r="H37" i="8"/>
  <c r="M60" i="8"/>
  <c r="N60" i="8" s="1"/>
  <c r="H60" i="8"/>
  <c r="M25" i="3"/>
  <c r="N25" i="3" s="1"/>
  <c r="H25" i="3"/>
  <c r="M60" i="3"/>
  <c r="N60" i="3" s="1"/>
  <c r="H60" i="3"/>
  <c r="M38" i="9"/>
  <c r="N38" i="9" s="1"/>
  <c r="H38" i="9"/>
  <c r="M81" i="8"/>
  <c r="N81" i="8" s="1"/>
  <c r="H81" i="8"/>
  <c r="M32" i="8"/>
  <c r="N32" i="8" s="1"/>
  <c r="H32" i="8"/>
  <c r="M80" i="8"/>
  <c r="N80" i="8" s="1"/>
  <c r="H80" i="8"/>
  <c r="M15" i="8"/>
  <c r="N15" i="8" s="1"/>
  <c r="H15" i="8"/>
  <c r="M95" i="8"/>
  <c r="N95" i="8" s="1"/>
  <c r="H95" i="8"/>
  <c r="M62" i="8"/>
  <c r="N62" i="8" s="1"/>
  <c r="H62" i="8"/>
  <c r="M46" i="9"/>
  <c r="N46" i="9" s="1"/>
  <c r="H46" i="9"/>
  <c r="M56" i="3"/>
  <c r="N56" i="3" s="1"/>
  <c r="H56" i="3"/>
  <c r="M34" i="9"/>
  <c r="N34" i="9" s="1"/>
  <c r="H34" i="9"/>
  <c r="M65" i="3"/>
  <c r="N65" i="3" s="1"/>
  <c r="H65" i="3"/>
  <c r="M77" i="8"/>
  <c r="N77" i="8" s="1"/>
  <c r="H77" i="8"/>
  <c r="M28" i="8"/>
  <c r="N28" i="8" s="1"/>
  <c r="H28" i="8"/>
  <c r="M91" i="8"/>
  <c r="N91" i="8" s="1"/>
  <c r="H91" i="8"/>
  <c r="M58" i="3"/>
  <c r="N58" i="3" s="1"/>
  <c r="H58" i="3"/>
  <c r="M36" i="9"/>
  <c r="N36" i="9" s="1"/>
  <c r="H36" i="9"/>
  <c r="M69" i="9"/>
  <c r="N69" i="9" s="1"/>
  <c r="H69" i="9"/>
  <c r="M84" i="8"/>
  <c r="N84" i="8" s="1"/>
  <c r="H84" i="8"/>
  <c r="M51" i="8"/>
  <c r="N51" i="8" s="1"/>
  <c r="H51" i="8"/>
  <c r="M19" i="8"/>
  <c r="N19" i="8" s="1"/>
  <c r="H19" i="8"/>
  <c r="M63" i="9"/>
  <c r="N63" i="9" s="1"/>
  <c r="H63" i="9"/>
  <c r="M90" i="8"/>
  <c r="N90" i="8" s="1"/>
  <c r="H90" i="8"/>
  <c r="M57" i="8"/>
  <c r="N57" i="8" s="1"/>
  <c r="H57" i="8"/>
  <c r="M25" i="8"/>
  <c r="N25" i="8" s="1"/>
  <c r="H25" i="8"/>
  <c r="M23" i="9"/>
  <c r="N23" i="9" s="1"/>
  <c r="H23" i="9"/>
  <c r="M89" i="8"/>
  <c r="N89" i="8" s="1"/>
  <c r="H89" i="8"/>
  <c r="M54" i="3"/>
  <c r="N54" i="3" s="1"/>
  <c r="H54" i="3"/>
  <c r="M88" i="8"/>
  <c r="N88" i="8" s="1"/>
  <c r="H88" i="8"/>
  <c r="M110" i="8"/>
  <c r="N110" i="8" s="1"/>
  <c r="H110" i="8"/>
  <c r="M112" i="8"/>
  <c r="N112" i="8" s="1"/>
  <c r="H112" i="8"/>
  <c r="M25" i="9"/>
  <c r="N25" i="9" s="1"/>
  <c r="H25" i="9"/>
  <c r="M70" i="8"/>
  <c r="N70" i="8" s="1"/>
  <c r="H70" i="8"/>
  <c r="M113" i="8"/>
  <c r="N113" i="8" s="1"/>
  <c r="H113" i="8"/>
  <c r="M33" i="9"/>
  <c r="N33" i="9" s="1"/>
  <c r="H33" i="9"/>
  <c r="M59" i="9"/>
  <c r="N59" i="9" s="1"/>
  <c r="H59" i="9"/>
  <c r="M29" i="8"/>
  <c r="N29" i="8" s="1"/>
  <c r="H29" i="8"/>
  <c r="M109" i="8"/>
  <c r="N109" i="8" s="1"/>
  <c r="H109" i="8"/>
  <c r="M52" i="8"/>
  <c r="N52" i="8" s="1"/>
  <c r="H52" i="8"/>
  <c r="M108" i="8"/>
  <c r="N108" i="8" s="1"/>
  <c r="H108" i="8"/>
  <c r="M35" i="3"/>
  <c r="N35" i="3" s="1"/>
  <c r="H35" i="3"/>
  <c r="M97" i="8"/>
  <c r="N97" i="8" s="1"/>
  <c r="H97" i="8"/>
  <c r="M56" i="9"/>
  <c r="N56" i="9" s="1"/>
  <c r="H56" i="9"/>
  <c r="M53" i="3"/>
  <c r="N53" i="3" s="1"/>
  <c r="H53" i="3"/>
  <c r="M65" i="9"/>
  <c r="N65" i="9" s="1"/>
  <c r="H65" i="9"/>
  <c r="M71" i="8"/>
  <c r="N71" i="8" s="1"/>
  <c r="H71" i="8"/>
  <c r="M85" i="8"/>
  <c r="N85" i="8" s="1"/>
  <c r="H85" i="8"/>
  <c r="M92" i="8"/>
  <c r="N92" i="8" s="1"/>
  <c r="H92" i="8"/>
  <c r="M65" i="8"/>
  <c r="N65" i="8" s="1"/>
  <c r="H65" i="8"/>
  <c r="M102" i="8"/>
  <c r="N102" i="8" s="1"/>
  <c r="H102" i="8"/>
  <c r="M99" i="8"/>
  <c r="N99" i="8" s="1"/>
  <c r="H99" i="8"/>
  <c r="M35" i="9"/>
  <c r="N35" i="9" s="1"/>
  <c r="H35" i="9"/>
  <c r="M56" i="8"/>
  <c r="N56" i="8" s="1"/>
  <c r="H56" i="8"/>
  <c r="M66" i="9"/>
  <c r="N66" i="9" s="1"/>
  <c r="H66" i="9"/>
  <c r="M61" i="8"/>
  <c r="N61" i="8" s="1"/>
  <c r="H61" i="8"/>
  <c r="M105" i="8"/>
  <c r="N105" i="8" s="1"/>
  <c r="H105" i="8"/>
  <c r="M72" i="8"/>
  <c r="N72" i="8" s="1"/>
  <c r="H72" i="8"/>
  <c r="M87" i="8"/>
  <c r="N87" i="8" s="1"/>
  <c r="H87" i="8"/>
  <c r="M32" i="9"/>
  <c r="N32" i="9" s="1"/>
  <c r="H32" i="9"/>
  <c r="M103" i="8"/>
  <c r="N103" i="8" s="1"/>
  <c r="H103" i="8"/>
  <c r="M57" i="3"/>
  <c r="N57" i="3" s="1"/>
  <c r="H57" i="3"/>
  <c r="M15" i="9"/>
  <c r="N15" i="9" s="1"/>
  <c r="H15" i="9"/>
  <c r="M61" i="9"/>
  <c r="N61" i="9" s="1"/>
  <c r="H61" i="9"/>
  <c r="M59" i="8"/>
  <c r="N59" i="8" s="1"/>
  <c r="H59" i="8"/>
  <c r="M58" i="9"/>
  <c r="N58" i="9" s="1"/>
  <c r="H58" i="9"/>
  <c r="M68" i="9"/>
  <c r="N68" i="9" s="1"/>
  <c r="H68" i="9"/>
  <c r="M39" i="9"/>
  <c r="N39" i="9" s="1"/>
  <c r="H39" i="9"/>
  <c r="M22" i="8"/>
  <c r="N22" i="8" s="1"/>
  <c r="H22" i="8"/>
  <c r="M94" i="8"/>
  <c r="N94" i="8" s="1"/>
  <c r="H94" i="8"/>
  <c r="M51" i="3"/>
  <c r="N51" i="3" s="1"/>
  <c r="H51" i="3"/>
  <c r="M73" i="8"/>
  <c r="N73" i="8" s="1"/>
  <c r="H73" i="8"/>
  <c r="M16" i="9"/>
  <c r="N16" i="9" s="1"/>
  <c r="H16" i="9"/>
  <c r="M39" i="8"/>
  <c r="N39" i="8" s="1"/>
  <c r="H39" i="8"/>
  <c r="M55" i="3"/>
  <c r="N55" i="3" s="1"/>
  <c r="H55" i="3"/>
  <c r="M54" i="8"/>
  <c r="N54" i="8" s="1"/>
  <c r="H54" i="8"/>
  <c r="M101" i="8"/>
  <c r="N101" i="8" s="1"/>
  <c r="H101" i="8"/>
  <c r="M69" i="8"/>
  <c r="N69" i="8" s="1"/>
  <c r="H69" i="8"/>
  <c r="M20" i="8"/>
  <c r="N20" i="8" s="1"/>
  <c r="H20" i="8"/>
  <c r="M59" i="3"/>
  <c r="N59" i="3" s="1"/>
  <c r="H59" i="3"/>
  <c r="M45" i="9"/>
  <c r="N45" i="9" s="1"/>
  <c r="H45" i="9"/>
  <c r="M76" i="8"/>
  <c r="N76" i="8" s="1"/>
  <c r="H76" i="8"/>
  <c r="M43" i="8"/>
  <c r="N43" i="8" s="1"/>
  <c r="H43" i="8"/>
  <c r="M82" i="8"/>
  <c r="N82" i="8" s="1"/>
  <c r="H82" i="8"/>
  <c r="M17" i="8"/>
  <c r="N17" i="8" s="1"/>
  <c r="H17" i="8"/>
  <c r="M47" i="9"/>
  <c r="N47" i="9" s="1"/>
  <c r="M48" i="9"/>
  <c r="N48" i="9" s="1"/>
  <c r="H48" i="9"/>
  <c r="M107" i="8"/>
  <c r="N107" i="8" s="1"/>
  <c r="H107" i="8"/>
  <c r="M86" i="8"/>
  <c r="N86" i="8" s="1"/>
  <c r="H86" i="8"/>
  <c r="M53" i="8"/>
  <c r="N53" i="8" s="1"/>
  <c r="H53" i="8"/>
  <c r="M21" i="8"/>
  <c r="N21" i="8" s="1"/>
  <c r="H21" i="8"/>
  <c r="M19" i="9"/>
  <c r="N19" i="9" s="1"/>
  <c r="H19" i="9"/>
  <c r="M52" i="9"/>
  <c r="N52" i="9" s="1"/>
  <c r="H52" i="9"/>
  <c r="M44" i="8"/>
  <c r="N44" i="8" s="1"/>
  <c r="H44" i="8"/>
  <c r="M29" i="9"/>
  <c r="N29" i="9" s="1"/>
  <c r="H29" i="9"/>
  <c r="M34" i="8"/>
  <c r="N34" i="8" s="1"/>
  <c r="H34" i="8"/>
  <c r="M21" i="9"/>
  <c r="N21" i="9" s="1"/>
  <c r="H21" i="9"/>
  <c r="M18" i="8"/>
  <c r="N18" i="8" s="1"/>
  <c r="H18" i="8"/>
  <c r="M22" i="9"/>
  <c r="N22" i="9" s="1"/>
  <c r="H22" i="9"/>
  <c r="M15" i="3"/>
  <c r="N15" i="3" s="1"/>
  <c r="H15" i="3"/>
  <c r="M58" i="8"/>
  <c r="N58" i="8" s="1"/>
  <c r="M64" i="9"/>
  <c r="N64" i="9" s="1"/>
  <c r="M49" i="9"/>
  <c r="N49" i="9" s="1"/>
  <c r="M44" i="9"/>
  <c r="N44" i="9" s="1"/>
  <c r="M24" i="9"/>
  <c r="N24" i="9" s="1"/>
  <c r="M83" i="8"/>
  <c r="N83" i="8" s="1"/>
  <c r="M104" i="8"/>
  <c r="N104" i="8" s="1"/>
  <c r="M43" i="9"/>
  <c r="N43" i="9" s="1"/>
  <c r="M45" i="3"/>
  <c r="N45" i="3" s="1"/>
  <c r="M40" i="9"/>
  <c r="N40" i="9" s="1"/>
  <c r="M41" i="9"/>
  <c r="N41" i="9" s="1"/>
  <c r="L9" i="8"/>
  <c r="L6" i="9"/>
  <c r="L8" i="9"/>
  <c r="M49" i="8"/>
  <c r="N49" i="8" s="1"/>
  <c r="L4" i="9"/>
  <c r="M47" i="8"/>
  <c r="N47" i="8" s="1"/>
  <c r="M67" i="9"/>
  <c r="N67" i="9" s="1"/>
  <c r="M67" i="8"/>
  <c r="N67" i="8" s="1"/>
  <c r="M50" i="8"/>
  <c r="N50" i="8" s="1"/>
  <c r="L5" i="9"/>
  <c r="M48" i="8"/>
  <c r="N48" i="8" s="1"/>
  <c r="M24" i="8"/>
  <c r="N24" i="8" s="1"/>
  <c r="M28" i="9"/>
  <c r="N28" i="9" s="1"/>
  <c r="M37" i="9"/>
  <c r="N37" i="9" s="1"/>
  <c r="E65" i="7"/>
  <c r="M54" i="2"/>
  <c r="L8" i="8"/>
  <c r="L4" i="8"/>
  <c r="L7" i="8"/>
  <c r="L6" i="8"/>
  <c r="L9" i="9"/>
  <c r="L7" i="9"/>
  <c r="M42" i="8"/>
  <c r="N42" i="8" s="1"/>
  <c r="L5" i="8"/>
  <c r="E64" i="7"/>
  <c r="E63" i="7"/>
  <c r="E61" i="7"/>
  <c r="E62" i="7"/>
  <c r="H8" i="9" l="1"/>
  <c r="H8" i="8"/>
  <c r="H9" i="8"/>
  <c r="H7" i="8"/>
  <c r="G9" i="8"/>
  <c r="G6" i="8"/>
  <c r="H5" i="8"/>
  <c r="H6" i="8"/>
  <c r="H4" i="8"/>
  <c r="G9" i="9"/>
  <c r="H7" i="9"/>
  <c r="G6" i="9"/>
  <c r="H5" i="9"/>
  <c r="H6" i="9"/>
  <c r="H4" i="9"/>
  <c r="H9" i="9"/>
  <c r="C32" i="5"/>
  <c r="C29" i="5"/>
  <c r="B28" i="5"/>
  <c r="I30" i="5"/>
  <c r="I34" i="5"/>
  <c r="I33" i="5"/>
  <c r="I31" i="5"/>
  <c r="N9" i="8"/>
  <c r="N7" i="8"/>
  <c r="N8" i="8"/>
  <c r="N6" i="8"/>
  <c r="N4" i="8"/>
  <c r="N5" i="8"/>
  <c r="N54" i="2"/>
  <c r="M9" i="9"/>
  <c r="M7" i="9"/>
  <c r="M8" i="9"/>
  <c r="M5" i="9"/>
  <c r="M8" i="8"/>
  <c r="M7" i="8"/>
  <c r="M9" i="8"/>
  <c r="M6" i="9"/>
  <c r="M4" i="9"/>
  <c r="N9" i="9"/>
  <c r="N7" i="9"/>
  <c r="N8" i="9"/>
  <c r="M6" i="8"/>
  <c r="M4" i="8"/>
  <c r="M5" i="8"/>
  <c r="J33" i="5" l="1"/>
  <c r="J34" i="5"/>
  <c r="N6" i="9"/>
  <c r="N4" i="9"/>
  <c r="N5" i="9"/>
  <c r="Q7" i="1" l="1"/>
  <c r="Q8" i="1"/>
  <c r="Q9" i="1"/>
  <c r="Q10" i="1"/>
  <c r="Q11" i="1"/>
  <c r="Q12" i="1"/>
  <c r="Q13" i="1"/>
  <c r="Q14" i="1"/>
  <c r="Q18" i="1"/>
  <c r="Q19" i="1"/>
  <c r="Q20" i="1"/>
  <c r="Q21" i="1"/>
  <c r="Q22" i="1"/>
  <c r="Q23" i="1"/>
  <c r="Q24" i="1"/>
  <c r="Q26" i="1"/>
  <c r="Q27" i="1"/>
  <c r="Q28" i="1"/>
  <c r="Q29" i="1"/>
  <c r="Q30" i="1"/>
  <c r="Q31" i="1"/>
  <c r="Q6" i="1"/>
  <c r="N7" i="7"/>
  <c r="K6" i="7"/>
  <c r="N18" i="7"/>
  <c r="N6" i="7" s="1"/>
  <c r="H6" i="7"/>
  <c r="E6" i="7"/>
  <c r="E12" i="7"/>
  <c r="E14" i="7" s="1"/>
  <c r="E5" i="7" s="1"/>
  <c r="N12" i="7"/>
  <c r="N14" i="7" s="1"/>
  <c r="N5" i="7" s="1"/>
  <c r="K36" i="7"/>
  <c r="K39" i="7" s="1"/>
  <c r="K12" i="7"/>
  <c r="K14" i="7" s="1"/>
  <c r="K5" i="7" s="1"/>
  <c r="H12" i="7"/>
  <c r="H14" i="7" s="1"/>
  <c r="H5" i="7" s="1"/>
  <c r="T5" i="6"/>
  <c r="U5" i="6"/>
  <c r="T6" i="6"/>
  <c r="U6" i="6"/>
  <c r="T7" i="6"/>
  <c r="U7" i="6"/>
  <c r="T8" i="6"/>
  <c r="U8" i="6"/>
  <c r="T9" i="6"/>
  <c r="U9" i="6"/>
  <c r="T10" i="6"/>
  <c r="U10" i="6"/>
  <c r="T11" i="6"/>
  <c r="U11" i="6"/>
  <c r="T12" i="6"/>
  <c r="U12" i="6"/>
  <c r="T13" i="6"/>
  <c r="U13" i="6"/>
  <c r="T15" i="6"/>
  <c r="U15" i="6"/>
  <c r="T16" i="6"/>
  <c r="U16" i="6"/>
  <c r="T17" i="6"/>
  <c r="U17" i="6"/>
  <c r="T18" i="6"/>
  <c r="U18" i="6"/>
  <c r="T19" i="6"/>
  <c r="U19" i="6"/>
  <c r="T20" i="6"/>
  <c r="U20" i="6"/>
  <c r="T21" i="6"/>
  <c r="U21" i="6"/>
  <c r="T22" i="6"/>
  <c r="U22" i="6"/>
  <c r="T23" i="6"/>
  <c r="U23" i="6"/>
  <c r="T25" i="6"/>
  <c r="U25" i="6"/>
  <c r="T26" i="6"/>
  <c r="U26" i="6"/>
  <c r="T27" i="6"/>
  <c r="U27" i="6"/>
  <c r="T28" i="6"/>
  <c r="U28" i="6"/>
  <c r="T29" i="6"/>
  <c r="U29" i="6"/>
  <c r="T30" i="6"/>
  <c r="U30" i="6"/>
  <c r="I5" i="6"/>
  <c r="J5" i="6"/>
  <c r="I7" i="6"/>
  <c r="J7" i="6"/>
  <c r="I8" i="6"/>
  <c r="J8" i="6"/>
  <c r="I10" i="6"/>
  <c r="J10" i="6"/>
  <c r="I11" i="6"/>
  <c r="J11" i="6"/>
  <c r="I12" i="6"/>
  <c r="J12" i="6"/>
  <c r="I13" i="6"/>
  <c r="J13" i="6"/>
  <c r="I15" i="6"/>
  <c r="J15" i="6"/>
  <c r="I16" i="6"/>
  <c r="J16" i="6"/>
  <c r="I17" i="6"/>
  <c r="J17" i="6"/>
  <c r="I18" i="6"/>
  <c r="J18" i="6"/>
  <c r="I19" i="6"/>
  <c r="J19" i="6"/>
  <c r="I20" i="6"/>
  <c r="J20" i="6"/>
  <c r="I21" i="6"/>
  <c r="J21" i="6"/>
  <c r="I22" i="6"/>
  <c r="J22" i="6"/>
  <c r="I23" i="6"/>
  <c r="J23" i="6"/>
  <c r="I25" i="6"/>
  <c r="J25" i="6"/>
  <c r="I26" i="6"/>
  <c r="J26" i="6"/>
  <c r="I28" i="6"/>
  <c r="J28" i="6"/>
  <c r="I29" i="6"/>
  <c r="J29" i="6"/>
  <c r="I30" i="6"/>
  <c r="J30" i="6"/>
  <c r="I31" i="6"/>
  <c r="J31" i="6"/>
  <c r="I32" i="6"/>
  <c r="J32" i="6"/>
  <c r="I33" i="6"/>
  <c r="J33" i="6"/>
  <c r="I35" i="6"/>
  <c r="J35" i="6"/>
  <c r="I36" i="6"/>
  <c r="J36" i="6"/>
  <c r="I37" i="6"/>
  <c r="J37" i="6"/>
  <c r="I38" i="6"/>
  <c r="J38" i="6"/>
  <c r="I39" i="6"/>
  <c r="J39" i="6"/>
  <c r="I50" i="6"/>
  <c r="J50" i="6"/>
  <c r="I51" i="6"/>
  <c r="J51" i="6"/>
  <c r="I52" i="6"/>
  <c r="J52" i="6"/>
  <c r="Y5" i="6"/>
  <c r="H27" i="7"/>
  <c r="H30" i="7" s="1"/>
  <c r="C66" i="2"/>
  <c r="C67" i="2"/>
  <c r="C68" i="2"/>
  <c r="C69" i="2"/>
  <c r="C70" i="2"/>
  <c r="C71" i="2"/>
  <c r="C72" i="2"/>
  <c r="C73" i="2"/>
  <c r="C74" i="2"/>
  <c r="C76" i="2"/>
  <c r="C77" i="2"/>
  <c r="C78" i="2"/>
  <c r="C79" i="2"/>
  <c r="C80" i="2"/>
  <c r="C81" i="2"/>
  <c r="C82" i="2"/>
  <c r="C83" i="2"/>
  <c r="C84" i="2"/>
  <c r="C86" i="2"/>
  <c r="C87" i="2"/>
  <c r="C88" i="2"/>
  <c r="C89" i="2"/>
  <c r="C90" i="2"/>
  <c r="C91" i="2"/>
  <c r="C92" i="2"/>
  <c r="C93" i="2"/>
  <c r="C94" i="2"/>
  <c r="C96" i="2"/>
  <c r="C97" i="2"/>
  <c r="C98" i="2"/>
  <c r="C99" i="2"/>
  <c r="C100" i="2"/>
  <c r="C101" i="2"/>
  <c r="C102" i="2"/>
  <c r="C103" i="2"/>
  <c r="C104" i="2"/>
  <c r="C106" i="2"/>
  <c r="C107" i="2"/>
  <c r="C108" i="2"/>
  <c r="C109" i="2"/>
  <c r="C110" i="2"/>
  <c r="C111" i="2"/>
  <c r="C112" i="2"/>
  <c r="C113" i="2"/>
  <c r="A69" i="3"/>
  <c r="C69" i="3"/>
  <c r="D69" i="3"/>
  <c r="A44" i="3"/>
  <c r="C44" i="3"/>
  <c r="D44" i="3"/>
  <c r="A46" i="3"/>
  <c r="C46" i="3"/>
  <c r="D46" i="3"/>
  <c r="A47" i="3"/>
  <c r="C47" i="3"/>
  <c r="D47" i="3"/>
  <c r="A48" i="3"/>
  <c r="C48" i="3"/>
  <c r="D48" i="3"/>
  <c r="A49" i="3"/>
  <c r="C49" i="3"/>
  <c r="D49" i="3"/>
  <c r="A50" i="3"/>
  <c r="C50" i="3"/>
  <c r="D50" i="3"/>
  <c r="A61" i="3"/>
  <c r="C61" i="3"/>
  <c r="D61" i="3"/>
  <c r="A62" i="3"/>
  <c r="C62" i="3"/>
  <c r="D62" i="3"/>
  <c r="A63" i="3"/>
  <c r="C63" i="3"/>
  <c r="D63" i="3"/>
  <c r="A64" i="3"/>
  <c r="C64" i="3"/>
  <c r="D64" i="3"/>
  <c r="A66" i="3"/>
  <c r="C66" i="3"/>
  <c r="D66" i="3"/>
  <c r="A67" i="3"/>
  <c r="C67" i="3"/>
  <c r="D67" i="3"/>
  <c r="A68" i="3"/>
  <c r="C68" i="3"/>
  <c r="D68" i="3"/>
  <c r="D43" i="3"/>
  <c r="C43" i="3"/>
  <c r="A43" i="3"/>
  <c r="A41" i="3"/>
  <c r="C41" i="3"/>
  <c r="D41" i="3"/>
  <c r="A16" i="3"/>
  <c r="C16" i="3"/>
  <c r="D16" i="3"/>
  <c r="A17" i="3"/>
  <c r="C17" i="3"/>
  <c r="D17" i="3"/>
  <c r="A18" i="3"/>
  <c r="C18" i="3"/>
  <c r="D18" i="3"/>
  <c r="A19" i="3"/>
  <c r="C19" i="3"/>
  <c r="D19" i="3"/>
  <c r="A20" i="3"/>
  <c r="C20" i="3"/>
  <c r="D20" i="3"/>
  <c r="A21" i="3"/>
  <c r="C21" i="3"/>
  <c r="D21" i="3"/>
  <c r="A22" i="3"/>
  <c r="C22" i="3"/>
  <c r="D22" i="3"/>
  <c r="A23" i="3"/>
  <c r="C23" i="3"/>
  <c r="D23" i="3"/>
  <c r="A24" i="3"/>
  <c r="C24" i="3"/>
  <c r="D24" i="3"/>
  <c r="A26" i="3"/>
  <c r="C26" i="3"/>
  <c r="D26" i="3"/>
  <c r="A27" i="3"/>
  <c r="C27" i="3"/>
  <c r="D27" i="3"/>
  <c r="A28" i="3"/>
  <c r="C28" i="3"/>
  <c r="D28" i="3"/>
  <c r="A29" i="3"/>
  <c r="C29" i="3"/>
  <c r="D29" i="3"/>
  <c r="A30" i="3"/>
  <c r="C30" i="3"/>
  <c r="D30" i="3"/>
  <c r="A31" i="3"/>
  <c r="C31" i="3"/>
  <c r="D31" i="3"/>
  <c r="A32" i="3"/>
  <c r="C32" i="3"/>
  <c r="D32" i="3"/>
  <c r="A33" i="3"/>
  <c r="C33" i="3"/>
  <c r="D33" i="3"/>
  <c r="A34" i="3"/>
  <c r="C34" i="3"/>
  <c r="D34" i="3"/>
  <c r="A36" i="3"/>
  <c r="C36" i="3"/>
  <c r="D36" i="3"/>
  <c r="A37" i="3"/>
  <c r="C37" i="3"/>
  <c r="D37" i="3"/>
  <c r="A38" i="3"/>
  <c r="C38" i="3"/>
  <c r="D38" i="3"/>
  <c r="A39" i="3"/>
  <c r="C39" i="3"/>
  <c r="D39" i="3"/>
  <c r="A40" i="3"/>
  <c r="C40" i="3"/>
  <c r="D40" i="3"/>
  <c r="J84" i="6" l="1"/>
  <c r="I84" i="6"/>
  <c r="I4" i="6"/>
  <c r="U4" i="6"/>
  <c r="J4" i="6"/>
  <c r="J34" i="6"/>
  <c r="T4" i="6"/>
  <c r="T3" i="6" s="1"/>
  <c r="J41" i="6"/>
  <c r="I34" i="6"/>
  <c r="I41" i="6"/>
  <c r="K63" i="3"/>
  <c r="K44" i="3"/>
  <c r="K22" i="3"/>
  <c r="B23" i="5"/>
  <c r="K47" i="3"/>
  <c r="K28" i="3"/>
  <c r="K19" i="3"/>
  <c r="K33" i="3"/>
  <c r="K24" i="3"/>
  <c r="K16" i="3"/>
  <c r="K43" i="3"/>
  <c r="K62" i="3"/>
  <c r="K69" i="3"/>
  <c r="K31" i="3"/>
  <c r="K50" i="3"/>
  <c r="K30" i="3"/>
  <c r="K21" i="3"/>
  <c r="B22" i="5"/>
  <c r="K68" i="3"/>
  <c r="K49" i="3"/>
  <c r="K18" i="3"/>
  <c r="K64" i="3"/>
  <c r="K46" i="3"/>
  <c r="K34" i="3"/>
  <c r="K40" i="3"/>
  <c r="K32" i="3"/>
  <c r="K41" i="3"/>
  <c r="K61" i="3"/>
  <c r="K26" i="3"/>
  <c r="K36" i="3"/>
  <c r="K27" i="3"/>
  <c r="K23" i="3"/>
  <c r="K38" i="3"/>
  <c r="K29" i="3"/>
  <c r="K20" i="3"/>
  <c r="K67" i="3"/>
  <c r="K48" i="3"/>
  <c r="K35" i="9"/>
  <c r="K34" i="9"/>
  <c r="K26" i="9"/>
  <c r="K18" i="9"/>
  <c r="K65" i="3"/>
  <c r="K57" i="3"/>
  <c r="K41" i="9"/>
  <c r="K33" i="9"/>
  <c r="K25" i="9"/>
  <c r="K17" i="9"/>
  <c r="K56" i="3"/>
  <c r="K15" i="3"/>
  <c r="K112" i="8"/>
  <c r="K104" i="8"/>
  <c r="K96" i="8"/>
  <c r="K88" i="8"/>
  <c r="K80" i="8"/>
  <c r="K72" i="8"/>
  <c r="K63" i="8"/>
  <c r="K55" i="8"/>
  <c r="K47" i="8"/>
  <c r="K39" i="8"/>
  <c r="K31" i="8"/>
  <c r="K23" i="8"/>
  <c r="K15" i="8"/>
  <c r="K57" i="2"/>
  <c r="K25" i="2"/>
  <c r="K40" i="9"/>
  <c r="K32" i="9"/>
  <c r="K24" i="9"/>
  <c r="K16" i="9"/>
  <c r="K55" i="3"/>
  <c r="K111" i="8"/>
  <c r="K103" i="8"/>
  <c r="K95" i="8"/>
  <c r="K87" i="8"/>
  <c r="K79" i="8"/>
  <c r="K71" i="8"/>
  <c r="K62" i="8"/>
  <c r="K54" i="8"/>
  <c r="K46" i="8"/>
  <c r="K38" i="8"/>
  <c r="K30" i="8"/>
  <c r="K22" i="8"/>
  <c r="K105" i="2"/>
  <c r="K65" i="2"/>
  <c r="K56" i="2"/>
  <c r="K39" i="9"/>
  <c r="K31" i="9"/>
  <c r="K38" i="9"/>
  <c r="K30" i="9"/>
  <c r="K22" i="9"/>
  <c r="K53" i="3"/>
  <c r="K45" i="3"/>
  <c r="K109" i="8"/>
  <c r="K101" i="8"/>
  <c r="K93" i="8"/>
  <c r="K85" i="8"/>
  <c r="K77" i="8"/>
  <c r="K69" i="8"/>
  <c r="K60" i="8"/>
  <c r="K52" i="8"/>
  <c r="K44" i="8"/>
  <c r="K36" i="8"/>
  <c r="K28" i="8"/>
  <c r="K20" i="8"/>
  <c r="K95" i="2"/>
  <c r="K37" i="9"/>
  <c r="K29" i="9"/>
  <c r="K21" i="9"/>
  <c r="K60" i="3"/>
  <c r="K52" i="3"/>
  <c r="K35" i="3"/>
  <c r="K36" i="9"/>
  <c r="K28" i="9"/>
  <c r="K20" i="9"/>
  <c r="K59" i="3"/>
  <c r="K51" i="3"/>
  <c r="K107" i="8"/>
  <c r="K99" i="8"/>
  <c r="K91" i="8"/>
  <c r="K83" i="8"/>
  <c r="K75" i="8"/>
  <c r="K67" i="8"/>
  <c r="K58" i="8"/>
  <c r="K50" i="8"/>
  <c r="K42" i="8"/>
  <c r="K34" i="8"/>
  <c r="K26" i="8"/>
  <c r="K18" i="8"/>
  <c r="K85" i="2"/>
  <c r="K60" i="2"/>
  <c r="K52" i="2"/>
  <c r="K19" i="9"/>
  <c r="K102" i="8"/>
  <c r="K86" i="8"/>
  <c r="K70" i="8"/>
  <c r="K53" i="8"/>
  <c r="K37" i="8"/>
  <c r="K21" i="8"/>
  <c r="K55" i="2"/>
  <c r="K15" i="9"/>
  <c r="K37" i="3"/>
  <c r="K100" i="8"/>
  <c r="K84" i="8"/>
  <c r="K68" i="8"/>
  <c r="K51" i="8"/>
  <c r="K35" i="8"/>
  <c r="K19" i="8"/>
  <c r="K54" i="2"/>
  <c r="K66" i="3"/>
  <c r="K98" i="8"/>
  <c r="K82" i="8"/>
  <c r="K66" i="8"/>
  <c r="K49" i="8"/>
  <c r="K33" i="8"/>
  <c r="K17" i="8"/>
  <c r="K53" i="2"/>
  <c r="K113" i="8"/>
  <c r="K97" i="8"/>
  <c r="K81" i="8"/>
  <c r="K65" i="8"/>
  <c r="K48" i="8"/>
  <c r="K32" i="8"/>
  <c r="K16" i="8"/>
  <c r="K51" i="2"/>
  <c r="K58" i="3"/>
  <c r="K25" i="3"/>
  <c r="K110" i="8"/>
  <c r="K94" i="8"/>
  <c r="K78" i="8"/>
  <c r="K61" i="8"/>
  <c r="K45" i="8"/>
  <c r="K29" i="8"/>
  <c r="K54" i="3"/>
  <c r="K108" i="8"/>
  <c r="K92" i="8"/>
  <c r="K76" i="8"/>
  <c r="K59" i="8"/>
  <c r="K43" i="8"/>
  <c r="K27" i="8"/>
  <c r="K15" i="2"/>
  <c r="K27" i="9"/>
  <c r="K17" i="3"/>
  <c r="K106" i="8"/>
  <c r="K90" i="8"/>
  <c r="K74" i="8"/>
  <c r="K57" i="8"/>
  <c r="K41" i="8"/>
  <c r="K25" i="8"/>
  <c r="K59" i="2"/>
  <c r="K35" i="2"/>
  <c r="K23" i="9"/>
  <c r="K105" i="8"/>
  <c r="K75" i="2"/>
  <c r="K89" i="8"/>
  <c r="K58" i="2"/>
  <c r="K73" i="8"/>
  <c r="K45" i="2"/>
  <c r="K56" i="8"/>
  <c r="K40" i="8"/>
  <c r="K24" i="8"/>
  <c r="K60" i="9"/>
  <c r="K53" i="9"/>
  <c r="K50" i="9"/>
  <c r="K55" i="9"/>
  <c r="K59" i="9"/>
  <c r="K62" i="9"/>
  <c r="K64" i="9"/>
  <c r="K68" i="9"/>
  <c r="K61" i="9"/>
  <c r="K58" i="9"/>
  <c r="K49" i="9"/>
  <c r="K63" i="9"/>
  <c r="K52" i="9"/>
  <c r="K69" i="9"/>
  <c r="K44" i="9"/>
  <c r="K43" i="9"/>
  <c r="K66" i="9"/>
  <c r="K51" i="9"/>
  <c r="K47" i="9"/>
  <c r="K46" i="9"/>
  <c r="K48" i="9"/>
  <c r="K45" i="9"/>
  <c r="K54" i="9"/>
  <c r="K56" i="9"/>
  <c r="K65" i="9"/>
  <c r="K67" i="9"/>
  <c r="K57" i="9"/>
  <c r="U3" i="6"/>
  <c r="I32" i="5"/>
  <c r="I29" i="5"/>
  <c r="E34" i="7"/>
  <c r="E36" i="7"/>
  <c r="E33" i="7"/>
  <c r="J27" i="6"/>
  <c r="T33" i="6"/>
  <c r="T31" i="6" s="1"/>
  <c r="U33" i="6"/>
  <c r="U31" i="6" s="1"/>
  <c r="I101" i="6"/>
  <c r="J101" i="6"/>
  <c r="I59" i="6"/>
  <c r="I66" i="6"/>
  <c r="I98" i="6"/>
  <c r="I91" i="6"/>
  <c r="J66" i="6"/>
  <c r="J98" i="6"/>
  <c r="J59" i="6"/>
  <c r="J91" i="6"/>
  <c r="B22" i="7"/>
  <c r="B23" i="7"/>
  <c r="I27" i="6"/>
  <c r="J6" i="6"/>
  <c r="I6" i="6"/>
  <c r="J9" i="6"/>
  <c r="I9" i="6"/>
  <c r="M35" i="2"/>
  <c r="N35" i="2" s="1"/>
  <c r="I3" i="6" l="1"/>
  <c r="J3" i="6"/>
  <c r="K6" i="9"/>
  <c r="K4" i="9"/>
  <c r="K5" i="9"/>
  <c r="K6" i="8"/>
  <c r="K4" i="8"/>
  <c r="K5" i="8"/>
  <c r="K8" i="3"/>
  <c r="K9" i="3"/>
  <c r="K7" i="3"/>
  <c r="K9" i="9"/>
  <c r="K7" i="9"/>
  <c r="K8" i="9"/>
  <c r="K9" i="8"/>
  <c r="K7" i="8"/>
  <c r="K8" i="8"/>
  <c r="B21" i="5"/>
  <c r="L20" i="3"/>
  <c r="G20" i="3"/>
  <c r="L27" i="3"/>
  <c r="G27" i="3"/>
  <c r="L41" i="3"/>
  <c r="G41" i="3"/>
  <c r="L34" i="3"/>
  <c r="G34" i="3"/>
  <c r="L49" i="3"/>
  <c r="G49" i="3"/>
  <c r="L30" i="3"/>
  <c r="G30" i="3"/>
  <c r="L69" i="3"/>
  <c r="G69" i="3"/>
  <c r="L24" i="3"/>
  <c r="G24" i="3"/>
  <c r="L47" i="3"/>
  <c r="G47" i="3"/>
  <c r="L22" i="3"/>
  <c r="G22" i="3"/>
  <c r="L29" i="3"/>
  <c r="G29" i="3"/>
  <c r="L36" i="3"/>
  <c r="G36" i="3"/>
  <c r="L32" i="3"/>
  <c r="G32" i="3"/>
  <c r="L46" i="3"/>
  <c r="G46" i="3"/>
  <c r="L68" i="3"/>
  <c r="G68" i="3"/>
  <c r="L39" i="3"/>
  <c r="G39" i="3"/>
  <c r="L62" i="3"/>
  <c r="G62" i="3"/>
  <c r="L33" i="3"/>
  <c r="G33" i="3"/>
  <c r="L66" i="3"/>
  <c r="G66" i="3"/>
  <c r="L48" i="3"/>
  <c r="G48" i="3"/>
  <c r="L38" i="3"/>
  <c r="G38" i="3"/>
  <c r="L26" i="3"/>
  <c r="G26" i="3"/>
  <c r="L40" i="3"/>
  <c r="G40" i="3"/>
  <c r="L64" i="3"/>
  <c r="G64" i="3"/>
  <c r="L50" i="3"/>
  <c r="G50" i="3"/>
  <c r="L43" i="3"/>
  <c r="G43" i="3"/>
  <c r="L19" i="3"/>
  <c r="G19" i="3"/>
  <c r="L44" i="3"/>
  <c r="G44" i="3"/>
  <c r="L67" i="3"/>
  <c r="G67" i="3"/>
  <c r="L23" i="3"/>
  <c r="G23" i="3"/>
  <c r="L61" i="3"/>
  <c r="G61" i="3"/>
  <c r="L17" i="3"/>
  <c r="G17" i="3"/>
  <c r="L18" i="3"/>
  <c r="G18" i="3"/>
  <c r="L21" i="3"/>
  <c r="G21" i="3"/>
  <c r="L31" i="3"/>
  <c r="G31" i="3"/>
  <c r="L16" i="3"/>
  <c r="G16" i="3"/>
  <c r="L28" i="3"/>
  <c r="G28" i="3"/>
  <c r="L37" i="3"/>
  <c r="G37" i="3"/>
  <c r="K39" i="3"/>
  <c r="K4" i="3" s="1"/>
  <c r="L63" i="3"/>
  <c r="G63" i="3"/>
  <c r="I28" i="5"/>
  <c r="I27" i="5" s="1"/>
  <c r="J53" i="6"/>
  <c r="I53" i="6"/>
  <c r="E34" i="5"/>
  <c r="E33" i="5"/>
  <c r="K6" i="3" l="1"/>
  <c r="H22" i="5" s="1"/>
  <c r="K5" i="3"/>
  <c r="H48" i="3"/>
  <c r="M48" i="3"/>
  <c r="N48" i="3" s="1"/>
  <c r="H63" i="3"/>
  <c r="M63" i="3"/>
  <c r="N63" i="3" s="1"/>
  <c r="L5" i="3"/>
  <c r="L4" i="3"/>
  <c r="L6" i="3"/>
  <c r="H39" i="3"/>
  <c r="M39" i="3"/>
  <c r="N39" i="3" s="1"/>
  <c r="H36" i="3"/>
  <c r="M36" i="3"/>
  <c r="N36" i="3" s="1"/>
  <c r="H24" i="3"/>
  <c r="M24" i="3"/>
  <c r="N24" i="3" s="1"/>
  <c r="H34" i="3"/>
  <c r="M34" i="3"/>
  <c r="N34" i="3" s="1"/>
  <c r="H64" i="3"/>
  <c r="M64" i="3"/>
  <c r="N64" i="3" s="1"/>
  <c r="H31" i="3"/>
  <c r="M31" i="3"/>
  <c r="N31" i="3" s="1"/>
  <c r="H61" i="3"/>
  <c r="M61" i="3"/>
  <c r="N61" i="3" s="1"/>
  <c r="H19" i="3"/>
  <c r="M19" i="3"/>
  <c r="N19" i="3" s="1"/>
  <c r="H40" i="3"/>
  <c r="M40" i="3"/>
  <c r="N40" i="3" s="1"/>
  <c r="H66" i="3"/>
  <c r="M66" i="3"/>
  <c r="N66" i="3" s="1"/>
  <c r="H68" i="3"/>
  <c r="M68" i="3"/>
  <c r="N68" i="3" s="1"/>
  <c r="H29" i="3"/>
  <c r="M29" i="3"/>
  <c r="N29" i="3" s="1"/>
  <c r="H69" i="3"/>
  <c r="M69" i="3"/>
  <c r="N69" i="3" s="1"/>
  <c r="H41" i="3"/>
  <c r="M41" i="3"/>
  <c r="N41" i="3" s="1"/>
  <c r="H44" i="3"/>
  <c r="M44" i="3"/>
  <c r="N44" i="3" s="1"/>
  <c r="H37" i="3"/>
  <c r="M37" i="3"/>
  <c r="N37" i="3" s="1"/>
  <c r="H21" i="3"/>
  <c r="M21" i="3"/>
  <c r="N21" i="3" s="1"/>
  <c r="H23" i="3"/>
  <c r="M23" i="3"/>
  <c r="N23" i="3" s="1"/>
  <c r="H43" i="3"/>
  <c r="M43" i="3"/>
  <c r="H26" i="3"/>
  <c r="M26" i="3"/>
  <c r="N26" i="3" s="1"/>
  <c r="H16" i="3"/>
  <c r="M16" i="3"/>
  <c r="L8" i="3"/>
  <c r="L9" i="3"/>
  <c r="L7" i="3"/>
  <c r="H33" i="3"/>
  <c r="M33" i="3"/>
  <c r="N33" i="3" s="1"/>
  <c r="H46" i="3"/>
  <c r="M46" i="3"/>
  <c r="N46" i="3" s="1"/>
  <c r="H22" i="3"/>
  <c r="M22" i="3"/>
  <c r="N22" i="3" s="1"/>
  <c r="H30" i="3"/>
  <c r="M30" i="3"/>
  <c r="N30" i="3" s="1"/>
  <c r="H27" i="3"/>
  <c r="M27" i="3"/>
  <c r="N27" i="3" s="1"/>
  <c r="H28" i="3"/>
  <c r="M28" i="3"/>
  <c r="N28" i="3" s="1"/>
  <c r="H18" i="3"/>
  <c r="M18" i="3"/>
  <c r="N18" i="3" s="1"/>
  <c r="H67" i="3"/>
  <c r="M67" i="3"/>
  <c r="N67" i="3" s="1"/>
  <c r="H50" i="3"/>
  <c r="M50" i="3"/>
  <c r="N50" i="3" s="1"/>
  <c r="H38" i="3"/>
  <c r="M38" i="3"/>
  <c r="N38" i="3" s="1"/>
  <c r="H17" i="3"/>
  <c r="M17" i="3"/>
  <c r="N17" i="3" s="1"/>
  <c r="H62" i="3"/>
  <c r="M62" i="3"/>
  <c r="N62" i="3" s="1"/>
  <c r="H32" i="3"/>
  <c r="M32" i="3"/>
  <c r="N32" i="3" s="1"/>
  <c r="H47" i="3"/>
  <c r="M47" i="3"/>
  <c r="N47" i="3" s="1"/>
  <c r="H49" i="3"/>
  <c r="M49" i="3"/>
  <c r="N49" i="3" s="1"/>
  <c r="H20" i="3"/>
  <c r="M20" i="3"/>
  <c r="N20" i="3" s="1"/>
  <c r="H33" i="5"/>
  <c r="H23" i="5"/>
  <c r="H34" i="5"/>
  <c r="J32" i="5"/>
  <c r="E32" i="5"/>
  <c r="G9" i="3" l="1"/>
  <c r="H8" i="3"/>
  <c r="H7" i="3"/>
  <c r="H9" i="3"/>
  <c r="H4" i="3"/>
  <c r="G6" i="3"/>
  <c r="H6" i="3"/>
  <c r="H5" i="3"/>
  <c r="I22" i="5"/>
  <c r="I23" i="5"/>
  <c r="N43" i="3"/>
  <c r="M7" i="3"/>
  <c r="M9" i="3"/>
  <c r="M8" i="3"/>
  <c r="N7" i="3"/>
  <c r="N8" i="3"/>
  <c r="N9" i="3"/>
  <c r="H32" i="5"/>
  <c r="H21" i="5"/>
  <c r="N16" i="3"/>
  <c r="N4" i="3" s="1"/>
  <c r="M6" i="3"/>
  <c r="M4" i="3"/>
  <c r="M5" i="3"/>
  <c r="A16" i="2"/>
  <c r="A17" i="2"/>
  <c r="A18" i="2"/>
  <c r="A19" i="2"/>
  <c r="A20" i="2"/>
  <c r="A21" i="2"/>
  <c r="A22" i="2"/>
  <c r="A23" i="2"/>
  <c r="A24" i="2"/>
  <c r="A26" i="2"/>
  <c r="A27" i="2"/>
  <c r="A28" i="2"/>
  <c r="A29" i="2"/>
  <c r="A30" i="2"/>
  <c r="A31" i="2"/>
  <c r="A32" i="2"/>
  <c r="A33" i="2"/>
  <c r="A34" i="2"/>
  <c r="A36" i="2"/>
  <c r="A37" i="2"/>
  <c r="A38" i="2"/>
  <c r="A39" i="2"/>
  <c r="A40" i="2"/>
  <c r="A41" i="2"/>
  <c r="A42" i="2"/>
  <c r="A43" i="2"/>
  <c r="A44" i="2"/>
  <c r="A46" i="2"/>
  <c r="A47" i="2"/>
  <c r="A48" i="2"/>
  <c r="A49" i="2"/>
  <c r="A50" i="2"/>
  <c r="A61" i="2"/>
  <c r="A62" i="2"/>
  <c r="A63" i="2"/>
  <c r="A66" i="2"/>
  <c r="A67" i="2"/>
  <c r="A68" i="2"/>
  <c r="A69" i="2"/>
  <c r="A70" i="2"/>
  <c r="A71" i="2"/>
  <c r="A72" i="2"/>
  <c r="A73" i="2"/>
  <c r="A74" i="2"/>
  <c r="A76" i="2"/>
  <c r="A77" i="2"/>
  <c r="A78" i="2"/>
  <c r="A79" i="2"/>
  <c r="A80" i="2"/>
  <c r="A81" i="2"/>
  <c r="A82" i="2"/>
  <c r="A83" i="2"/>
  <c r="A84" i="2"/>
  <c r="A86" i="2"/>
  <c r="A87" i="2"/>
  <c r="A88" i="2"/>
  <c r="A89" i="2"/>
  <c r="A90" i="2"/>
  <c r="A91" i="2"/>
  <c r="A92" i="2"/>
  <c r="A93" i="2"/>
  <c r="A94" i="2"/>
  <c r="A96" i="2"/>
  <c r="A97" i="2"/>
  <c r="A98" i="2"/>
  <c r="A99" i="2"/>
  <c r="A100" i="2"/>
  <c r="A101" i="2"/>
  <c r="A102" i="2"/>
  <c r="A103" i="2"/>
  <c r="A104" i="2"/>
  <c r="A106" i="2"/>
  <c r="A107" i="2"/>
  <c r="A108" i="2"/>
  <c r="A109" i="2"/>
  <c r="A110" i="2"/>
  <c r="A111" i="2"/>
  <c r="A112" i="2"/>
  <c r="A113" i="2"/>
  <c r="D111" i="2"/>
  <c r="D112" i="2"/>
  <c r="D113" i="2"/>
  <c r="D107" i="2"/>
  <c r="D108" i="2"/>
  <c r="D109" i="2"/>
  <c r="D110" i="2"/>
  <c r="D102" i="2"/>
  <c r="D103" i="2"/>
  <c r="D104" i="2"/>
  <c r="D106" i="2"/>
  <c r="D94" i="2"/>
  <c r="M95" i="2"/>
  <c r="D96" i="2"/>
  <c r="D97" i="2"/>
  <c r="D98" i="2"/>
  <c r="D99" i="2"/>
  <c r="D100" i="2"/>
  <c r="D101" i="2"/>
  <c r="D84" i="2"/>
  <c r="M85" i="2"/>
  <c r="N85" i="2" s="1"/>
  <c r="D86" i="2"/>
  <c r="D87" i="2"/>
  <c r="D88" i="2"/>
  <c r="D89" i="2"/>
  <c r="D90" i="2"/>
  <c r="D91" i="2"/>
  <c r="D92" i="2"/>
  <c r="D93" i="2"/>
  <c r="D68" i="2"/>
  <c r="D69" i="2"/>
  <c r="D70" i="2"/>
  <c r="D71" i="2"/>
  <c r="D72" i="2"/>
  <c r="D73" i="2"/>
  <c r="D74" i="2"/>
  <c r="M75" i="2"/>
  <c r="N75" i="2" s="1"/>
  <c r="D76" i="2"/>
  <c r="D77" i="2"/>
  <c r="D78" i="2"/>
  <c r="D79" i="2"/>
  <c r="D80" i="2"/>
  <c r="D81" i="2"/>
  <c r="D82" i="2"/>
  <c r="D83" i="2"/>
  <c r="M60" i="2"/>
  <c r="N60" i="2" s="1"/>
  <c r="C61" i="2"/>
  <c r="D61" i="2"/>
  <c r="C62" i="2"/>
  <c r="D62" i="2"/>
  <c r="C63" i="2"/>
  <c r="D63" i="2"/>
  <c r="M65" i="2"/>
  <c r="N65" i="2" s="1"/>
  <c r="D66" i="2"/>
  <c r="D67" i="2"/>
  <c r="C49" i="2"/>
  <c r="D49" i="2"/>
  <c r="C50" i="2"/>
  <c r="D50" i="2"/>
  <c r="M51" i="2"/>
  <c r="N51" i="2" s="1"/>
  <c r="M52" i="2"/>
  <c r="N52" i="2" s="1"/>
  <c r="M53" i="2"/>
  <c r="N53" i="2" s="1"/>
  <c r="M55" i="2"/>
  <c r="N55" i="2" s="1"/>
  <c r="M56" i="2"/>
  <c r="N56" i="2" s="1"/>
  <c r="M57" i="2"/>
  <c r="N57" i="2" s="1"/>
  <c r="M58" i="2"/>
  <c r="N58" i="2" s="1"/>
  <c r="M59" i="2"/>
  <c r="N59" i="2" s="1"/>
  <c r="M25" i="2"/>
  <c r="N25" i="2" s="1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6" i="2"/>
  <c r="D46" i="2"/>
  <c r="C47" i="2"/>
  <c r="D47" i="2"/>
  <c r="C48" i="2"/>
  <c r="D48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E18" i="1"/>
  <c r="F18" i="1" s="1"/>
  <c r="L18" i="1"/>
  <c r="E19" i="1"/>
  <c r="F19" i="1" s="1"/>
  <c r="L19" i="1"/>
  <c r="E20" i="1"/>
  <c r="F20" i="1" s="1"/>
  <c r="L20" i="1"/>
  <c r="E21" i="1"/>
  <c r="F21" i="1" s="1"/>
  <c r="L21" i="1"/>
  <c r="E22" i="1"/>
  <c r="F22" i="1" s="1"/>
  <c r="L22" i="1"/>
  <c r="E23" i="1"/>
  <c r="F23" i="1" s="1"/>
  <c r="L23" i="1"/>
  <c r="E24" i="1"/>
  <c r="F24" i="1" s="1"/>
  <c r="L24" i="1"/>
  <c r="E26" i="1"/>
  <c r="F26" i="1" s="1"/>
  <c r="L26" i="1"/>
  <c r="E27" i="1"/>
  <c r="F27" i="1" s="1"/>
  <c r="L27" i="1"/>
  <c r="E28" i="1"/>
  <c r="F28" i="1" s="1"/>
  <c r="L28" i="1"/>
  <c r="E29" i="1"/>
  <c r="F29" i="1" s="1"/>
  <c r="L29" i="1"/>
  <c r="E30" i="1"/>
  <c r="F30" i="1" s="1"/>
  <c r="L30" i="1"/>
  <c r="E31" i="1"/>
  <c r="F31" i="1" s="1"/>
  <c r="L31" i="1"/>
  <c r="L14" i="1"/>
  <c r="L13" i="1"/>
  <c r="L12" i="1"/>
  <c r="L11" i="1"/>
  <c r="L10" i="1"/>
  <c r="L9" i="1"/>
  <c r="L8" i="1"/>
  <c r="L7" i="1"/>
  <c r="L6" i="1"/>
  <c r="E23" i="5" l="1"/>
  <c r="L38" i="2"/>
  <c r="G38" i="2"/>
  <c r="H38" i="2" s="1"/>
  <c r="K38" i="2"/>
  <c r="E29" i="2"/>
  <c r="F29" i="2" s="1"/>
  <c r="J63" i="2"/>
  <c r="E73" i="2"/>
  <c r="F73" i="2" s="1"/>
  <c r="J21" i="2"/>
  <c r="J17" i="2"/>
  <c r="L46" i="2"/>
  <c r="G46" i="2"/>
  <c r="H46" i="2" s="1"/>
  <c r="K46" i="2"/>
  <c r="L41" i="2"/>
  <c r="G41" i="2"/>
  <c r="H41" i="2" s="1"/>
  <c r="K41" i="2"/>
  <c r="E32" i="2"/>
  <c r="F32" i="2" s="1"/>
  <c r="E28" i="2"/>
  <c r="F28" i="2" s="1"/>
  <c r="L62" i="2"/>
  <c r="G62" i="2"/>
  <c r="H62" i="2" s="1"/>
  <c r="K62" i="2"/>
  <c r="L80" i="2"/>
  <c r="G80" i="2"/>
  <c r="H80" i="2" s="1"/>
  <c r="K80" i="2"/>
  <c r="L72" i="2"/>
  <c r="G72" i="2"/>
  <c r="H72" i="2" s="1"/>
  <c r="K72" i="2"/>
  <c r="L90" i="2"/>
  <c r="G90" i="2"/>
  <c r="H90" i="2" s="1"/>
  <c r="K90" i="2"/>
  <c r="L100" i="2"/>
  <c r="G100" i="2"/>
  <c r="H100" i="2" s="1"/>
  <c r="K100" i="2"/>
  <c r="L104" i="2"/>
  <c r="G104" i="2"/>
  <c r="H104" i="2" s="1"/>
  <c r="K104" i="2"/>
  <c r="L47" i="2"/>
  <c r="G47" i="2"/>
  <c r="H47" i="2" s="1"/>
  <c r="K47" i="2"/>
  <c r="L92" i="2"/>
  <c r="G92" i="2"/>
  <c r="H92" i="2" s="1"/>
  <c r="K92" i="2"/>
  <c r="E91" i="2"/>
  <c r="F91" i="2" s="1"/>
  <c r="L103" i="2"/>
  <c r="G103" i="2"/>
  <c r="H103" i="2" s="1"/>
  <c r="K103" i="2"/>
  <c r="L111" i="2"/>
  <c r="G111" i="2"/>
  <c r="H111" i="2" s="1"/>
  <c r="K111" i="2"/>
  <c r="J22" i="5"/>
  <c r="E22" i="5"/>
  <c r="J18" i="2"/>
  <c r="L84" i="2"/>
  <c r="G84" i="2"/>
  <c r="H84" i="2" s="1"/>
  <c r="K84" i="2"/>
  <c r="L98" i="2"/>
  <c r="G98" i="2"/>
  <c r="H98" i="2" s="1"/>
  <c r="K98" i="2"/>
  <c r="L42" i="2"/>
  <c r="G42" i="2"/>
  <c r="H42" i="2" s="1"/>
  <c r="K42" i="2"/>
  <c r="L82" i="2"/>
  <c r="G82" i="2"/>
  <c r="H82" i="2" s="1"/>
  <c r="K82" i="2"/>
  <c r="E50" i="2"/>
  <c r="F50" i="2" s="1"/>
  <c r="E101" i="2"/>
  <c r="F101" i="2" s="1"/>
  <c r="L24" i="2"/>
  <c r="G24" i="2"/>
  <c r="H24" i="2" s="1"/>
  <c r="K24" i="2"/>
  <c r="J16" i="2"/>
  <c r="J36" i="2"/>
  <c r="J61" i="2"/>
  <c r="L88" i="2"/>
  <c r="G88" i="2"/>
  <c r="H88" i="2" s="1"/>
  <c r="K88" i="2"/>
  <c r="N6" i="3"/>
  <c r="N5" i="3"/>
  <c r="B19" i="5"/>
  <c r="J67" i="2"/>
  <c r="E77" i="2"/>
  <c r="F77" i="2" s="1"/>
  <c r="I69" i="2"/>
  <c r="J97" i="2"/>
  <c r="L110" i="2"/>
  <c r="G110" i="2"/>
  <c r="H110" i="2" s="1"/>
  <c r="K110" i="2"/>
  <c r="L94" i="2"/>
  <c r="G94" i="2"/>
  <c r="H94" i="2" s="1"/>
  <c r="K94" i="2"/>
  <c r="L113" i="2"/>
  <c r="G113" i="2"/>
  <c r="H113" i="2" s="1"/>
  <c r="K113" i="2"/>
  <c r="I89" i="2"/>
  <c r="L44" i="2"/>
  <c r="G44" i="2"/>
  <c r="H44" i="2" s="1"/>
  <c r="K44" i="2"/>
  <c r="L78" i="2"/>
  <c r="G78" i="2"/>
  <c r="H78" i="2" s="1"/>
  <c r="K78" i="2"/>
  <c r="J19" i="2"/>
  <c r="L48" i="2"/>
  <c r="G48" i="2"/>
  <c r="H48" i="2" s="1"/>
  <c r="K48" i="2"/>
  <c r="L34" i="2"/>
  <c r="G34" i="2"/>
  <c r="H34" i="2" s="1"/>
  <c r="K34" i="2"/>
  <c r="J30" i="2"/>
  <c r="J26" i="2"/>
  <c r="J66" i="2"/>
  <c r="B20" i="5"/>
  <c r="L76" i="2"/>
  <c r="G76" i="2"/>
  <c r="H76" i="2" s="1"/>
  <c r="K76" i="2"/>
  <c r="L68" i="2"/>
  <c r="G68" i="2"/>
  <c r="H68" i="2" s="1"/>
  <c r="K68" i="2"/>
  <c r="L86" i="2"/>
  <c r="G86" i="2"/>
  <c r="H86" i="2" s="1"/>
  <c r="K86" i="2"/>
  <c r="L96" i="2"/>
  <c r="G96" i="2"/>
  <c r="H96" i="2" s="1"/>
  <c r="K96" i="2"/>
  <c r="J109" i="2"/>
  <c r="I21" i="5"/>
  <c r="L22" i="2"/>
  <c r="G22" i="2"/>
  <c r="H22" i="2" s="1"/>
  <c r="K22" i="2"/>
  <c r="J33" i="2"/>
  <c r="L74" i="2"/>
  <c r="G74" i="2"/>
  <c r="H74" i="2" s="1"/>
  <c r="K74" i="2"/>
  <c r="L49" i="2"/>
  <c r="G49" i="2"/>
  <c r="H49" i="2" s="1"/>
  <c r="K49" i="2"/>
  <c r="J99" i="2"/>
  <c r="L40" i="2"/>
  <c r="G40" i="2"/>
  <c r="H40" i="2" s="1"/>
  <c r="K40" i="2"/>
  <c r="L70" i="2"/>
  <c r="G70" i="2"/>
  <c r="H70" i="2" s="1"/>
  <c r="K70" i="2"/>
  <c r="J102" i="2"/>
  <c r="J23" i="2"/>
  <c r="L43" i="2"/>
  <c r="G43" i="2"/>
  <c r="H43" i="2" s="1"/>
  <c r="K43" i="2"/>
  <c r="J83" i="2"/>
  <c r="E93" i="2"/>
  <c r="F93" i="2" s="1"/>
  <c r="L108" i="2"/>
  <c r="G108" i="2"/>
  <c r="H108" i="2" s="1"/>
  <c r="K108" i="2"/>
  <c r="J23" i="5"/>
  <c r="N95" i="2"/>
  <c r="J47" i="9"/>
  <c r="J51" i="9"/>
  <c r="J69" i="8"/>
  <c r="J73" i="8"/>
  <c r="E69" i="8"/>
  <c r="F69" i="8" s="1"/>
  <c r="E73" i="8"/>
  <c r="F73" i="8" s="1"/>
  <c r="E47" i="9"/>
  <c r="F47" i="9" s="1"/>
  <c r="E51" i="9"/>
  <c r="F51" i="9" s="1"/>
  <c r="I75" i="2"/>
  <c r="I53" i="8"/>
  <c r="J84" i="2"/>
  <c r="J95" i="2"/>
  <c r="J92" i="2"/>
  <c r="J87" i="2"/>
  <c r="J79" i="2"/>
  <c r="J65" i="2"/>
  <c r="J80" i="2"/>
  <c r="J71" i="2"/>
  <c r="J93" i="8"/>
  <c r="J44" i="9"/>
  <c r="J29" i="8"/>
  <c r="J43" i="3"/>
  <c r="J47" i="3"/>
  <c r="J31" i="9"/>
  <c r="J60" i="3"/>
  <c r="J59" i="8"/>
  <c r="J68" i="9"/>
  <c r="J94" i="8"/>
  <c r="J33" i="9"/>
  <c r="J32" i="9"/>
  <c r="J32" i="8"/>
  <c r="J90" i="8"/>
  <c r="J30" i="9"/>
  <c r="J27" i="9"/>
  <c r="J65" i="3"/>
  <c r="J70" i="8"/>
  <c r="J38" i="8"/>
  <c r="J57" i="9"/>
  <c r="J66" i="8"/>
  <c r="J55" i="9"/>
  <c r="J58" i="8"/>
  <c r="J45" i="8"/>
  <c r="J26" i="8"/>
  <c r="J62" i="8"/>
  <c r="J63" i="8"/>
  <c r="J97" i="8"/>
  <c r="J20" i="8"/>
  <c r="J34" i="9"/>
  <c r="J62" i="3"/>
  <c r="J78" i="2"/>
  <c r="J82" i="8"/>
  <c r="J34" i="8"/>
  <c r="J101" i="8"/>
  <c r="J37" i="8"/>
  <c r="J61" i="8"/>
  <c r="J48" i="3"/>
  <c r="J79" i="8"/>
  <c r="J15" i="8"/>
  <c r="J24" i="8"/>
  <c r="J33" i="8"/>
  <c r="J57" i="8"/>
  <c r="J77" i="8"/>
  <c r="J60" i="9"/>
  <c r="J54" i="8"/>
  <c r="J25" i="9"/>
  <c r="J55" i="8"/>
  <c r="J24" i="9"/>
  <c r="J46" i="3"/>
  <c r="J48" i="9"/>
  <c r="J98" i="8"/>
  <c r="J36" i="9"/>
  <c r="J29" i="9"/>
  <c r="J52" i="8"/>
  <c r="J30" i="8"/>
  <c r="J95" i="8"/>
  <c r="J45" i="3"/>
  <c r="J70" i="2"/>
  <c r="J94" i="2"/>
  <c r="J86" i="2"/>
  <c r="I92" i="2"/>
  <c r="I84" i="2"/>
  <c r="I65" i="2"/>
  <c r="I83" i="2"/>
  <c r="I79" i="2"/>
  <c r="I87" i="2"/>
  <c r="I80" i="2"/>
  <c r="I71" i="2"/>
  <c r="I95" i="2"/>
  <c r="I33" i="8"/>
  <c r="I57" i="8"/>
  <c r="I36" i="9"/>
  <c r="I29" i="9"/>
  <c r="I52" i="8"/>
  <c r="I68" i="9"/>
  <c r="I58" i="8"/>
  <c r="I26" i="8"/>
  <c r="I30" i="8"/>
  <c r="I62" i="8"/>
  <c r="I45" i="3"/>
  <c r="I86" i="2"/>
  <c r="I98" i="8"/>
  <c r="I93" i="8"/>
  <c r="I27" i="9"/>
  <c r="I43" i="3"/>
  <c r="I47" i="3"/>
  <c r="I60" i="3"/>
  <c r="I59" i="8"/>
  <c r="I34" i="8"/>
  <c r="I29" i="8"/>
  <c r="I79" i="8"/>
  <c r="I33" i="9"/>
  <c r="I32" i="9"/>
  <c r="I30" i="9"/>
  <c r="I70" i="2"/>
  <c r="I65" i="3"/>
  <c r="I94" i="8"/>
  <c r="I38" i="8"/>
  <c r="I54" i="8"/>
  <c r="I57" i="9"/>
  <c r="I62" i="3"/>
  <c r="I90" i="8"/>
  <c r="I55" i="9"/>
  <c r="I70" i="8"/>
  <c r="I95" i="8"/>
  <c r="I63" i="8"/>
  <c r="I32" i="8"/>
  <c r="I97" i="8"/>
  <c r="I66" i="8"/>
  <c r="I20" i="8"/>
  <c r="I60" i="9"/>
  <c r="I45" i="8"/>
  <c r="I34" i="9"/>
  <c r="I46" i="3"/>
  <c r="I48" i="9"/>
  <c r="I101" i="8"/>
  <c r="I48" i="3"/>
  <c r="I15" i="8"/>
  <c r="I24" i="8"/>
  <c r="I82" i="8"/>
  <c r="I77" i="8"/>
  <c r="I44" i="9"/>
  <c r="I37" i="8"/>
  <c r="I61" i="8"/>
  <c r="I25" i="9"/>
  <c r="I55" i="8"/>
  <c r="I24" i="9"/>
  <c r="I31" i="9"/>
  <c r="I78" i="2"/>
  <c r="I94" i="2"/>
  <c r="J75" i="2"/>
  <c r="J53" i="8"/>
  <c r="J76" i="2"/>
  <c r="J53" i="2"/>
  <c r="J49" i="2"/>
  <c r="J42" i="2"/>
  <c r="J74" i="8"/>
  <c r="J71" i="8"/>
  <c r="J47" i="8"/>
  <c r="J52" i="9"/>
  <c r="J43" i="8"/>
  <c r="J39" i="8"/>
  <c r="J49" i="9"/>
  <c r="J40" i="8"/>
  <c r="J57" i="2"/>
  <c r="J90" i="2"/>
  <c r="J111" i="2"/>
  <c r="J60" i="2"/>
  <c r="J106" i="2"/>
  <c r="J96" i="2"/>
  <c r="J93" i="2"/>
  <c r="J88" i="2"/>
  <c r="J82" i="2"/>
  <c r="J108" i="2"/>
  <c r="J55" i="2"/>
  <c r="J31" i="2"/>
  <c r="J112" i="2"/>
  <c r="J107" i="2"/>
  <c r="J103" i="2"/>
  <c r="J100" i="2"/>
  <c r="J98" i="2"/>
  <c r="J85" i="2"/>
  <c r="J15" i="2"/>
  <c r="J24" i="2"/>
  <c r="J25" i="2"/>
  <c r="J25" i="8"/>
  <c r="J35" i="3"/>
  <c r="J19" i="3"/>
  <c r="J108" i="8"/>
  <c r="J28" i="8"/>
  <c r="J16" i="3"/>
  <c r="J99" i="8"/>
  <c r="J56" i="3"/>
  <c r="J29" i="3"/>
  <c r="J105" i="8"/>
  <c r="J69" i="3"/>
  <c r="J81" i="2"/>
  <c r="J26" i="3"/>
  <c r="J20" i="9"/>
  <c r="J41" i="3"/>
  <c r="J40" i="3"/>
  <c r="J37" i="9"/>
  <c r="J26" i="9"/>
  <c r="J22" i="8"/>
  <c r="J54" i="3"/>
  <c r="J16" i="8"/>
  <c r="J81" i="8"/>
  <c r="J28" i="3"/>
  <c r="J100" i="8"/>
  <c r="J66" i="3"/>
  <c r="J59" i="3"/>
  <c r="J21" i="8"/>
  <c r="J39" i="3"/>
  <c r="J23" i="3"/>
  <c r="J22" i="3"/>
  <c r="J31" i="8"/>
  <c r="J88" i="8"/>
  <c r="J112" i="8"/>
  <c r="J53" i="3"/>
  <c r="J17" i="8"/>
  <c r="J44" i="3"/>
  <c r="J27" i="3"/>
  <c r="J21" i="9"/>
  <c r="J19" i="8"/>
  <c r="J25" i="3"/>
  <c r="J85" i="8"/>
  <c r="J24" i="3"/>
  <c r="J64" i="3"/>
  <c r="J67" i="3"/>
  <c r="J17" i="9"/>
  <c r="J55" i="3"/>
  <c r="J16" i="9"/>
  <c r="J37" i="3"/>
  <c r="J21" i="3"/>
  <c r="J39" i="9"/>
  <c r="J106" i="8"/>
  <c r="J68" i="3"/>
  <c r="J28" i="9"/>
  <c r="J50" i="3"/>
  <c r="J15" i="9"/>
  <c r="J60" i="8"/>
  <c r="J109" i="8"/>
  <c r="J49" i="3"/>
  <c r="J51" i="3"/>
  <c r="J18" i="3"/>
  <c r="J107" i="8"/>
  <c r="J103" i="8"/>
  <c r="J41" i="9"/>
  <c r="J104" i="8"/>
  <c r="J40" i="9"/>
  <c r="J36" i="3"/>
  <c r="J104" i="2"/>
  <c r="J38" i="9"/>
  <c r="J35" i="9"/>
  <c r="J110" i="8"/>
  <c r="J59" i="9"/>
  <c r="J66" i="9"/>
  <c r="J38" i="3"/>
  <c r="J30" i="3"/>
  <c r="J23" i="8"/>
  <c r="J23" i="9"/>
  <c r="J61" i="3"/>
  <c r="J63" i="9"/>
  <c r="J52" i="3"/>
  <c r="J27" i="2"/>
  <c r="J33" i="3"/>
  <c r="J17" i="3"/>
  <c r="J32" i="3"/>
  <c r="J102" i="8"/>
  <c r="J18" i="9"/>
  <c r="J63" i="3"/>
  <c r="J113" i="8"/>
  <c r="J20" i="3"/>
  <c r="J15" i="3"/>
  <c r="J22" i="9"/>
  <c r="J18" i="8"/>
  <c r="J27" i="8"/>
  <c r="J58" i="3"/>
  <c r="J34" i="3"/>
  <c r="J19" i="9"/>
  <c r="J57" i="3"/>
  <c r="J31" i="3"/>
  <c r="J111" i="8"/>
  <c r="J96" i="8"/>
  <c r="J105" i="2"/>
  <c r="J113" i="2"/>
  <c r="J22" i="2"/>
  <c r="J110" i="2"/>
  <c r="J72" i="8"/>
  <c r="J49" i="8"/>
  <c r="J46" i="8"/>
  <c r="J76" i="8"/>
  <c r="J53" i="9"/>
  <c r="J54" i="9"/>
  <c r="J42" i="8"/>
  <c r="J75" i="8"/>
  <c r="J50" i="9"/>
  <c r="J46" i="2"/>
  <c r="I53" i="2"/>
  <c r="I76" i="2"/>
  <c r="I49" i="2"/>
  <c r="I42" i="2"/>
  <c r="I43" i="8"/>
  <c r="I49" i="9"/>
  <c r="I40" i="8"/>
  <c r="I74" i="8"/>
  <c r="I52" i="9"/>
  <c r="I47" i="8"/>
  <c r="I39" i="8"/>
  <c r="I71" i="8"/>
  <c r="I24" i="2"/>
  <c r="I27" i="2"/>
  <c r="I25" i="2"/>
  <c r="I21" i="2"/>
  <c r="I90" i="2"/>
  <c r="I15" i="2"/>
  <c r="I111" i="2"/>
  <c r="I108" i="2"/>
  <c r="I106" i="2"/>
  <c r="I60" i="2"/>
  <c r="I96" i="2"/>
  <c r="I93" i="2"/>
  <c r="I88" i="2"/>
  <c r="I55" i="2"/>
  <c r="I31" i="2"/>
  <c r="I112" i="2"/>
  <c r="I107" i="2"/>
  <c r="I103" i="2"/>
  <c r="I100" i="2"/>
  <c r="I98" i="2"/>
  <c r="I85" i="2"/>
  <c r="I82" i="2"/>
  <c r="I28" i="2"/>
  <c r="I57" i="2"/>
  <c r="I81" i="2"/>
  <c r="I15" i="3"/>
  <c r="I22" i="9"/>
  <c r="I18" i="8"/>
  <c r="I41" i="3"/>
  <c r="I17" i="3"/>
  <c r="I34" i="3"/>
  <c r="I57" i="3"/>
  <c r="I102" i="8"/>
  <c r="I31" i="3"/>
  <c r="I111" i="8"/>
  <c r="I22" i="3"/>
  <c r="I96" i="8"/>
  <c r="I54" i="3"/>
  <c r="I35" i="3"/>
  <c r="I19" i="3"/>
  <c r="I108" i="8"/>
  <c r="I66" i="3"/>
  <c r="I25" i="3"/>
  <c r="I16" i="3"/>
  <c r="I110" i="8"/>
  <c r="I56" i="3"/>
  <c r="I107" i="8"/>
  <c r="I103" i="8"/>
  <c r="I23" i="8"/>
  <c r="I105" i="8"/>
  <c r="I69" i="3"/>
  <c r="I26" i="3"/>
  <c r="I20" i="9"/>
  <c r="I28" i="8"/>
  <c r="I40" i="3"/>
  <c r="I37" i="9"/>
  <c r="I26" i="9"/>
  <c r="I22" i="8"/>
  <c r="I37" i="3"/>
  <c r="I16" i="8"/>
  <c r="I81" i="8"/>
  <c r="I39" i="9"/>
  <c r="I28" i="3"/>
  <c r="I25" i="8"/>
  <c r="I100" i="8"/>
  <c r="I50" i="3"/>
  <c r="I15" i="9"/>
  <c r="I59" i="3"/>
  <c r="I109" i="8"/>
  <c r="I39" i="3"/>
  <c r="I23" i="3"/>
  <c r="I88" i="8"/>
  <c r="I112" i="8"/>
  <c r="I113" i="8"/>
  <c r="I53" i="3"/>
  <c r="I17" i="8"/>
  <c r="I44" i="3"/>
  <c r="I27" i="3"/>
  <c r="I21" i="9"/>
  <c r="I27" i="8"/>
  <c r="I85" i="8"/>
  <c r="I35" i="9"/>
  <c r="I24" i="3"/>
  <c r="I64" i="3"/>
  <c r="I67" i="3"/>
  <c r="I17" i="9"/>
  <c r="I55" i="3"/>
  <c r="I16" i="9"/>
  <c r="I21" i="3"/>
  <c r="I23" i="9"/>
  <c r="I68" i="3"/>
  <c r="I110" i="2"/>
  <c r="I28" i="9"/>
  <c r="I33" i="3"/>
  <c r="I60" i="8"/>
  <c r="I49" i="3"/>
  <c r="I99" i="8"/>
  <c r="I51" i="3"/>
  <c r="I18" i="3"/>
  <c r="I21" i="8"/>
  <c r="I41" i="9"/>
  <c r="I104" i="8"/>
  <c r="I40" i="9"/>
  <c r="I36" i="3"/>
  <c r="I106" i="8"/>
  <c r="I38" i="9"/>
  <c r="I58" i="3"/>
  <c r="I19" i="9"/>
  <c r="I59" i="9"/>
  <c r="I66" i="9"/>
  <c r="I38" i="3"/>
  <c r="I30" i="3"/>
  <c r="I31" i="8"/>
  <c r="I29" i="3"/>
  <c r="I61" i="3"/>
  <c r="I105" i="2"/>
  <c r="I63" i="9"/>
  <c r="I52" i="3"/>
  <c r="I19" i="8"/>
  <c r="I32" i="3"/>
  <c r="I18" i="9"/>
  <c r="I63" i="3"/>
  <c r="I20" i="3"/>
  <c r="I113" i="2"/>
  <c r="I104" i="2"/>
  <c r="I22" i="2"/>
  <c r="I50" i="9"/>
  <c r="I72" i="8"/>
  <c r="I49" i="8"/>
  <c r="I42" i="8"/>
  <c r="I76" i="8"/>
  <c r="I75" i="8"/>
  <c r="I53" i="9"/>
  <c r="I46" i="8"/>
  <c r="I54" i="9"/>
  <c r="I46" i="2"/>
  <c r="J74" i="2"/>
  <c r="J72" i="2"/>
  <c r="J68" i="2"/>
  <c r="J84" i="8"/>
  <c r="J61" i="9"/>
  <c r="J67" i="9"/>
  <c r="J46" i="9"/>
  <c r="J67" i="8"/>
  <c r="J56" i="8"/>
  <c r="J56" i="9"/>
  <c r="J83" i="8"/>
  <c r="J45" i="9"/>
  <c r="J44" i="8"/>
  <c r="J87" i="8"/>
  <c r="J58" i="9"/>
  <c r="J69" i="9"/>
  <c r="J41" i="8"/>
  <c r="J51" i="8"/>
  <c r="J36" i="8"/>
  <c r="J62" i="9"/>
  <c r="J86" i="8"/>
  <c r="J48" i="8"/>
  <c r="J64" i="9"/>
  <c r="J50" i="8"/>
  <c r="J35" i="8"/>
  <c r="J92" i="8"/>
  <c r="J80" i="8"/>
  <c r="J65" i="9"/>
  <c r="J68" i="8"/>
  <c r="J91" i="8"/>
  <c r="J65" i="8"/>
  <c r="J89" i="8"/>
  <c r="J78" i="8"/>
  <c r="J43" i="9"/>
  <c r="I72" i="2"/>
  <c r="I74" i="2"/>
  <c r="I68" i="2"/>
  <c r="I43" i="9"/>
  <c r="I56" i="9"/>
  <c r="I35" i="8"/>
  <c r="I84" i="8"/>
  <c r="I61" i="9"/>
  <c r="I78" i="8"/>
  <c r="I67" i="9"/>
  <c r="I46" i="9"/>
  <c r="I50" i="8"/>
  <c r="I56" i="8"/>
  <c r="I45" i="9"/>
  <c r="I91" i="8"/>
  <c r="I44" i="8"/>
  <c r="I58" i="9"/>
  <c r="I64" i="9"/>
  <c r="I69" i="9"/>
  <c r="I41" i="8"/>
  <c r="I51" i="8"/>
  <c r="I62" i="9"/>
  <c r="I48" i="8"/>
  <c r="I92" i="8"/>
  <c r="I67" i="8"/>
  <c r="I36" i="8"/>
  <c r="I86" i="8"/>
  <c r="I80" i="8"/>
  <c r="I65" i="9"/>
  <c r="I83" i="8"/>
  <c r="I68" i="8"/>
  <c r="I87" i="8"/>
  <c r="I65" i="8"/>
  <c r="I89" i="8"/>
  <c r="E48" i="2"/>
  <c r="F48" i="2" s="1"/>
  <c r="E68" i="2"/>
  <c r="F68" i="2" s="1"/>
  <c r="E47" i="2"/>
  <c r="F47" i="2" s="1"/>
  <c r="E39" i="2"/>
  <c r="F39" i="2" s="1"/>
  <c r="E74" i="2"/>
  <c r="F74" i="2" s="1"/>
  <c r="E72" i="2"/>
  <c r="F72" i="2" s="1"/>
  <c r="E40" i="2"/>
  <c r="F40" i="2" s="1"/>
  <c r="E44" i="2"/>
  <c r="F44" i="2" s="1"/>
  <c r="E68" i="8"/>
  <c r="F68" i="8" s="1"/>
  <c r="E78" i="8"/>
  <c r="F78" i="8" s="1"/>
  <c r="E35" i="8"/>
  <c r="F35" i="8" s="1"/>
  <c r="E61" i="9"/>
  <c r="F61" i="9" s="1"/>
  <c r="E65" i="9"/>
  <c r="F65" i="9" s="1"/>
  <c r="E48" i="8"/>
  <c r="F48" i="8" s="1"/>
  <c r="E92" i="8"/>
  <c r="F92" i="8" s="1"/>
  <c r="E91" i="8"/>
  <c r="F91" i="8" s="1"/>
  <c r="E67" i="9"/>
  <c r="F67" i="9" s="1"/>
  <c r="E69" i="9"/>
  <c r="F69" i="9" s="1"/>
  <c r="E44" i="8"/>
  <c r="F44" i="8" s="1"/>
  <c r="E46" i="9"/>
  <c r="F46" i="9" s="1"/>
  <c r="E41" i="8"/>
  <c r="F41" i="8" s="1"/>
  <c r="E83" i="8"/>
  <c r="F83" i="8" s="1"/>
  <c r="E51" i="8"/>
  <c r="F51" i="8" s="1"/>
  <c r="E84" i="8"/>
  <c r="F84" i="8" s="1"/>
  <c r="E67" i="8"/>
  <c r="F67" i="8" s="1"/>
  <c r="E36" i="8"/>
  <c r="F36" i="8" s="1"/>
  <c r="E43" i="9"/>
  <c r="F43" i="9" s="1"/>
  <c r="E87" i="8"/>
  <c r="F87" i="8" s="1"/>
  <c r="E80" i="8"/>
  <c r="F80" i="8" s="1"/>
  <c r="E45" i="9"/>
  <c r="F45" i="9" s="1"/>
  <c r="E58" i="9"/>
  <c r="F58" i="9" s="1"/>
  <c r="E65" i="8"/>
  <c r="F65" i="8" s="1"/>
  <c r="E56" i="9"/>
  <c r="F56" i="9" s="1"/>
  <c r="E50" i="8"/>
  <c r="F50" i="8" s="1"/>
  <c r="E86" i="8"/>
  <c r="F86" i="8" s="1"/>
  <c r="E64" i="9"/>
  <c r="F64" i="9" s="1"/>
  <c r="E43" i="2"/>
  <c r="F43" i="2" s="1"/>
  <c r="E62" i="9"/>
  <c r="F62" i="9" s="1"/>
  <c r="E56" i="8"/>
  <c r="F56" i="8" s="1"/>
  <c r="E89" i="8"/>
  <c r="F89" i="8" s="1"/>
  <c r="E75" i="2"/>
  <c r="F75" i="2" s="1"/>
  <c r="E53" i="8"/>
  <c r="F53" i="8" s="1"/>
  <c r="E56" i="2"/>
  <c r="F56" i="2" s="1"/>
  <c r="E79" i="2"/>
  <c r="F79" i="2" s="1"/>
  <c r="E80" i="2"/>
  <c r="F80" i="2" s="1"/>
  <c r="E54" i="2"/>
  <c r="F54" i="2" s="1"/>
  <c r="E37" i="2"/>
  <c r="F37" i="2" s="1"/>
  <c r="E58" i="2"/>
  <c r="F58" i="2" s="1"/>
  <c r="E92" i="2"/>
  <c r="F92" i="2" s="1"/>
  <c r="E84" i="2"/>
  <c r="F84" i="2" s="1"/>
  <c r="E41" i="2"/>
  <c r="F41" i="2" s="1"/>
  <c r="E71" i="2"/>
  <c r="F71" i="2" s="1"/>
  <c r="E34" i="2"/>
  <c r="F34" i="2" s="1"/>
  <c r="E95" i="2"/>
  <c r="F95" i="2" s="1"/>
  <c r="E45" i="2"/>
  <c r="F45" i="2" s="1"/>
  <c r="E52" i="2"/>
  <c r="F52" i="2" s="1"/>
  <c r="E87" i="2"/>
  <c r="F87" i="2" s="1"/>
  <c r="E20" i="2"/>
  <c r="E65" i="2"/>
  <c r="F65" i="2" s="1"/>
  <c r="E59" i="2"/>
  <c r="F59" i="2" s="1"/>
  <c r="E57" i="8"/>
  <c r="F57" i="8" s="1"/>
  <c r="E90" i="8"/>
  <c r="F90" i="8" s="1"/>
  <c r="E58" i="8"/>
  <c r="F58" i="8" s="1"/>
  <c r="E45" i="8"/>
  <c r="F45" i="8" s="1"/>
  <c r="E30" i="8"/>
  <c r="F30" i="8" s="1"/>
  <c r="E63" i="8"/>
  <c r="F63" i="8" s="1"/>
  <c r="E78" i="2"/>
  <c r="F78" i="2" s="1"/>
  <c r="E51" i="2"/>
  <c r="F51" i="2" s="1"/>
  <c r="E29" i="9"/>
  <c r="F29" i="9" s="1"/>
  <c r="E20" i="8"/>
  <c r="F20" i="8" s="1"/>
  <c r="E52" i="8"/>
  <c r="F52" i="8" s="1"/>
  <c r="E29" i="8"/>
  <c r="F29" i="8" s="1"/>
  <c r="E48" i="3"/>
  <c r="F48" i="3" s="1"/>
  <c r="E32" i="9"/>
  <c r="F32" i="9" s="1"/>
  <c r="E62" i="3"/>
  <c r="F62" i="3" s="1"/>
  <c r="E35" i="2"/>
  <c r="F35" i="2" s="1"/>
  <c r="E82" i="8"/>
  <c r="F82" i="8" s="1"/>
  <c r="E55" i="9"/>
  <c r="F55" i="9" s="1"/>
  <c r="E59" i="8"/>
  <c r="F59" i="8" s="1"/>
  <c r="E65" i="3"/>
  <c r="F65" i="3" s="1"/>
  <c r="E70" i="8"/>
  <c r="F70" i="8" s="1"/>
  <c r="E34" i="9"/>
  <c r="F34" i="9" s="1"/>
  <c r="E62" i="8"/>
  <c r="F62" i="8" s="1"/>
  <c r="E95" i="8"/>
  <c r="F95" i="8" s="1"/>
  <c r="E55" i="8"/>
  <c r="F55" i="8" s="1"/>
  <c r="E33" i="8"/>
  <c r="F33" i="8" s="1"/>
  <c r="E36" i="9"/>
  <c r="F36" i="9" s="1"/>
  <c r="E77" i="8"/>
  <c r="F77" i="8" s="1"/>
  <c r="E60" i="9"/>
  <c r="F60" i="9" s="1"/>
  <c r="E27" i="9"/>
  <c r="F27" i="9" s="1"/>
  <c r="E47" i="3"/>
  <c r="F47" i="3" s="1"/>
  <c r="E86" i="2"/>
  <c r="F86" i="2" s="1"/>
  <c r="E30" i="9"/>
  <c r="F30" i="9" s="1"/>
  <c r="E34" i="8"/>
  <c r="F34" i="8" s="1"/>
  <c r="E61" i="8"/>
  <c r="F61" i="8" s="1"/>
  <c r="E94" i="8"/>
  <c r="F94" i="8" s="1"/>
  <c r="E26" i="8"/>
  <c r="F26" i="8" s="1"/>
  <c r="E54" i="8"/>
  <c r="F54" i="8" s="1"/>
  <c r="E15" i="8"/>
  <c r="F15" i="8" s="1"/>
  <c r="E45" i="3"/>
  <c r="F45" i="3" s="1"/>
  <c r="E32" i="8"/>
  <c r="F32" i="8" s="1"/>
  <c r="E31" i="9"/>
  <c r="F31" i="9" s="1"/>
  <c r="E70" i="2"/>
  <c r="F70" i="2" s="1"/>
  <c r="E101" i="8"/>
  <c r="F101" i="8" s="1"/>
  <c r="E68" i="9"/>
  <c r="F68" i="9" s="1"/>
  <c r="E43" i="3"/>
  <c r="F43" i="3" s="1"/>
  <c r="E25" i="9"/>
  <c r="F25" i="9" s="1"/>
  <c r="E46" i="3"/>
  <c r="F46" i="3" s="1"/>
  <c r="E97" i="8"/>
  <c r="F97" i="8" s="1"/>
  <c r="E38" i="2"/>
  <c r="F38" i="2" s="1"/>
  <c r="E62" i="2"/>
  <c r="F62" i="2" s="1"/>
  <c r="E66" i="8"/>
  <c r="F66" i="8" s="1"/>
  <c r="E98" i="8"/>
  <c r="F98" i="8" s="1"/>
  <c r="E38" i="8"/>
  <c r="F38" i="8" s="1"/>
  <c r="E79" i="8"/>
  <c r="F79" i="8" s="1"/>
  <c r="E24" i="8"/>
  <c r="F24" i="8" s="1"/>
  <c r="E94" i="2"/>
  <c r="F94" i="2" s="1"/>
  <c r="E60" i="3"/>
  <c r="F60" i="3" s="1"/>
  <c r="E93" i="8"/>
  <c r="F93" i="8" s="1"/>
  <c r="E44" i="9"/>
  <c r="F44" i="9" s="1"/>
  <c r="E37" i="8"/>
  <c r="F37" i="8" s="1"/>
  <c r="E33" i="9"/>
  <c r="F33" i="9" s="1"/>
  <c r="E57" i="9"/>
  <c r="F57" i="9" s="1"/>
  <c r="E24" i="9"/>
  <c r="F24" i="9" s="1"/>
  <c r="E48" i="9"/>
  <c r="F48" i="9" s="1"/>
  <c r="E42" i="2"/>
  <c r="F42" i="2" s="1"/>
  <c r="E49" i="2"/>
  <c r="F49" i="2" s="1"/>
  <c r="E53" i="2"/>
  <c r="F53" i="2" s="1"/>
  <c r="E76" i="2"/>
  <c r="F76" i="2" s="1"/>
  <c r="E71" i="8"/>
  <c r="F71" i="8" s="1"/>
  <c r="E52" i="9"/>
  <c r="F52" i="9" s="1"/>
  <c r="E74" i="8"/>
  <c r="F74" i="8" s="1"/>
  <c r="E47" i="8"/>
  <c r="F47" i="8" s="1"/>
  <c r="E39" i="8"/>
  <c r="F39" i="8" s="1"/>
  <c r="E49" i="9"/>
  <c r="F49" i="9" s="1"/>
  <c r="E43" i="8"/>
  <c r="F43" i="8" s="1"/>
  <c r="E40" i="8"/>
  <c r="F40" i="8" s="1"/>
  <c r="E104" i="2"/>
  <c r="F104" i="2" s="1"/>
  <c r="E55" i="2"/>
  <c r="F55" i="2" s="1"/>
  <c r="E111" i="2"/>
  <c r="F111" i="2" s="1"/>
  <c r="E22" i="2"/>
  <c r="E90" i="2"/>
  <c r="F90" i="2" s="1"/>
  <c r="E100" i="2"/>
  <c r="F100" i="2" s="1"/>
  <c r="E112" i="2"/>
  <c r="F112" i="2" s="1"/>
  <c r="E57" i="2"/>
  <c r="F57" i="2" s="1"/>
  <c r="E25" i="2"/>
  <c r="F25" i="2" s="1"/>
  <c r="E82" i="2"/>
  <c r="F82" i="2" s="1"/>
  <c r="E103" i="2"/>
  <c r="F103" i="2" s="1"/>
  <c r="E15" i="2"/>
  <c r="E60" i="2"/>
  <c r="F60" i="2" s="1"/>
  <c r="E106" i="2"/>
  <c r="F106" i="2" s="1"/>
  <c r="E85" i="2"/>
  <c r="F85" i="2" s="1"/>
  <c r="E107" i="2"/>
  <c r="F107" i="2" s="1"/>
  <c r="E24" i="2"/>
  <c r="F24" i="2" s="1"/>
  <c r="E96" i="2"/>
  <c r="F96" i="2" s="1"/>
  <c r="E108" i="2"/>
  <c r="F108" i="2" s="1"/>
  <c r="E31" i="2"/>
  <c r="F31" i="2" s="1"/>
  <c r="E88" i="2"/>
  <c r="F88" i="2" s="1"/>
  <c r="E98" i="2"/>
  <c r="F98" i="2" s="1"/>
  <c r="E100" i="8"/>
  <c r="F100" i="8" s="1"/>
  <c r="E17" i="3"/>
  <c r="F17" i="3" s="1"/>
  <c r="E57" i="3"/>
  <c r="F57" i="3" s="1"/>
  <c r="E24" i="3"/>
  <c r="F24" i="3" s="1"/>
  <c r="E59" i="9"/>
  <c r="F59" i="9" s="1"/>
  <c r="E26" i="9"/>
  <c r="F26" i="9" s="1"/>
  <c r="E103" i="8"/>
  <c r="F103" i="8" s="1"/>
  <c r="E96" i="8"/>
  <c r="F96" i="8" s="1"/>
  <c r="E61" i="3"/>
  <c r="F61" i="3" s="1"/>
  <c r="E28" i="3"/>
  <c r="F28" i="3" s="1"/>
  <c r="E23" i="9"/>
  <c r="F23" i="9" s="1"/>
  <c r="E29" i="3"/>
  <c r="F29" i="3" s="1"/>
  <c r="E25" i="8"/>
  <c r="F25" i="8" s="1"/>
  <c r="E68" i="3"/>
  <c r="F68" i="3" s="1"/>
  <c r="E35" i="3"/>
  <c r="F35" i="3" s="1"/>
  <c r="E28" i="9"/>
  <c r="F28" i="9" s="1"/>
  <c r="E58" i="3"/>
  <c r="F58" i="3" s="1"/>
  <c r="E110" i="2"/>
  <c r="F110" i="2" s="1"/>
  <c r="E85" i="8"/>
  <c r="F85" i="8" s="1"/>
  <c r="E19" i="9"/>
  <c r="F19" i="9" s="1"/>
  <c r="E51" i="3"/>
  <c r="F51" i="3" s="1"/>
  <c r="E23" i="3"/>
  <c r="F23" i="3" s="1"/>
  <c r="E41" i="9"/>
  <c r="F41" i="9" s="1"/>
  <c r="E38" i="3"/>
  <c r="F38" i="3" s="1"/>
  <c r="E31" i="8"/>
  <c r="F31" i="8" s="1"/>
  <c r="E16" i="8"/>
  <c r="F16" i="8" s="1"/>
  <c r="E81" i="8"/>
  <c r="F81" i="8" s="1"/>
  <c r="E22" i="9"/>
  <c r="F22" i="9" s="1"/>
  <c r="E19" i="8"/>
  <c r="F19" i="8" s="1"/>
  <c r="E32" i="3"/>
  <c r="F32" i="3" s="1"/>
  <c r="E102" i="8"/>
  <c r="F102" i="8" s="1"/>
  <c r="E110" i="8"/>
  <c r="F110" i="8" s="1"/>
  <c r="E107" i="8"/>
  <c r="F107" i="8" s="1"/>
  <c r="E22" i="8"/>
  <c r="F22" i="8" s="1"/>
  <c r="E88" i="8"/>
  <c r="F88" i="8" s="1"/>
  <c r="E23" i="8"/>
  <c r="F23" i="8" s="1"/>
  <c r="E44" i="3"/>
  <c r="F44" i="3" s="1"/>
  <c r="E19" i="3"/>
  <c r="F19" i="3" s="1"/>
  <c r="E21" i="9"/>
  <c r="F21" i="9" s="1"/>
  <c r="E27" i="8"/>
  <c r="F27" i="8" s="1"/>
  <c r="E66" i="3"/>
  <c r="F66" i="3" s="1"/>
  <c r="E33" i="3"/>
  <c r="F33" i="3" s="1"/>
  <c r="E34" i="3"/>
  <c r="F34" i="3" s="1"/>
  <c r="E56" i="3"/>
  <c r="F56" i="3" s="1"/>
  <c r="E40" i="9"/>
  <c r="F40" i="9" s="1"/>
  <c r="E21" i="3"/>
  <c r="F21" i="3" s="1"/>
  <c r="E106" i="8"/>
  <c r="F106" i="8" s="1"/>
  <c r="E63" i="9"/>
  <c r="F63" i="9" s="1"/>
  <c r="E25" i="3"/>
  <c r="F25" i="3" s="1"/>
  <c r="E28" i="8"/>
  <c r="F28" i="8" s="1"/>
  <c r="E40" i="3"/>
  <c r="F40" i="3" s="1"/>
  <c r="E113" i="8"/>
  <c r="F113" i="8" s="1"/>
  <c r="E15" i="3"/>
  <c r="F15" i="3" s="1"/>
  <c r="E52" i="3"/>
  <c r="F52" i="3" s="1"/>
  <c r="E27" i="3"/>
  <c r="F27" i="3" s="1"/>
  <c r="E26" i="3"/>
  <c r="F26" i="3" s="1"/>
  <c r="E41" i="3"/>
  <c r="F41" i="3" s="1"/>
  <c r="E59" i="3"/>
  <c r="F59" i="3" s="1"/>
  <c r="E35" i="9"/>
  <c r="F35" i="9" s="1"/>
  <c r="E37" i="9"/>
  <c r="F37" i="9" s="1"/>
  <c r="E18" i="3"/>
  <c r="F18" i="3" s="1"/>
  <c r="E64" i="3"/>
  <c r="F64" i="3" s="1"/>
  <c r="E31" i="3"/>
  <c r="F31" i="3" s="1"/>
  <c r="E55" i="3"/>
  <c r="F55" i="3" s="1"/>
  <c r="E30" i="3"/>
  <c r="F30" i="3" s="1"/>
  <c r="E112" i="8"/>
  <c r="F112" i="8" s="1"/>
  <c r="E16" i="9"/>
  <c r="F16" i="9" s="1"/>
  <c r="E39" i="9"/>
  <c r="F39" i="9" s="1"/>
  <c r="E105" i="8"/>
  <c r="F105" i="8" s="1"/>
  <c r="E97" i="2"/>
  <c r="F97" i="2" s="1"/>
  <c r="E17" i="8"/>
  <c r="F17" i="8" s="1"/>
  <c r="E38" i="9"/>
  <c r="F38" i="9" s="1"/>
  <c r="E18" i="8"/>
  <c r="F18" i="8" s="1"/>
  <c r="E27" i="2"/>
  <c r="F27" i="2" s="1"/>
  <c r="E109" i="8"/>
  <c r="F109" i="8" s="1"/>
  <c r="E49" i="3"/>
  <c r="F49" i="3" s="1"/>
  <c r="E99" i="8"/>
  <c r="F99" i="8" s="1"/>
  <c r="E18" i="9"/>
  <c r="F18" i="9" s="1"/>
  <c r="E104" i="8"/>
  <c r="F104" i="8" s="1"/>
  <c r="E53" i="3"/>
  <c r="F53" i="3" s="1"/>
  <c r="E113" i="2"/>
  <c r="F113" i="2" s="1"/>
  <c r="E37" i="3"/>
  <c r="F37" i="3" s="1"/>
  <c r="E108" i="8"/>
  <c r="F108" i="8" s="1"/>
  <c r="E20" i="9"/>
  <c r="F20" i="9" s="1"/>
  <c r="E50" i="3"/>
  <c r="F50" i="3" s="1"/>
  <c r="E15" i="9"/>
  <c r="F15" i="9" s="1"/>
  <c r="E60" i="8"/>
  <c r="F60" i="8" s="1"/>
  <c r="E16" i="3"/>
  <c r="F16" i="3" s="1"/>
  <c r="E21" i="8"/>
  <c r="F21" i="8" s="1"/>
  <c r="E39" i="3"/>
  <c r="F39" i="3" s="1"/>
  <c r="E67" i="3"/>
  <c r="F67" i="3" s="1"/>
  <c r="E111" i="8"/>
  <c r="F111" i="8" s="1"/>
  <c r="E66" i="9"/>
  <c r="F66" i="9" s="1"/>
  <c r="E63" i="3"/>
  <c r="F63" i="3" s="1"/>
  <c r="E54" i="3"/>
  <c r="F54" i="3" s="1"/>
  <c r="E20" i="3"/>
  <c r="F20" i="3" s="1"/>
  <c r="E105" i="2"/>
  <c r="F105" i="2" s="1"/>
  <c r="E69" i="3"/>
  <c r="F69" i="3" s="1"/>
  <c r="E36" i="3"/>
  <c r="F36" i="3" s="1"/>
  <c r="E81" i="2"/>
  <c r="F81" i="2" s="1"/>
  <c r="E17" i="9"/>
  <c r="F17" i="9" s="1"/>
  <c r="E22" i="3"/>
  <c r="F22" i="3" s="1"/>
  <c r="E50" i="9"/>
  <c r="F50" i="9" s="1"/>
  <c r="E49" i="8"/>
  <c r="F49" i="8" s="1"/>
  <c r="E42" i="8"/>
  <c r="F42" i="8" s="1"/>
  <c r="E75" i="8"/>
  <c r="F75" i="8" s="1"/>
  <c r="E54" i="9"/>
  <c r="F54" i="9" s="1"/>
  <c r="E76" i="8"/>
  <c r="F76" i="8" s="1"/>
  <c r="E46" i="8"/>
  <c r="F46" i="8" s="1"/>
  <c r="E72" i="8"/>
  <c r="F72" i="8" s="1"/>
  <c r="E53" i="9"/>
  <c r="F53" i="9" s="1"/>
  <c r="E46" i="2"/>
  <c r="F46" i="2" s="1"/>
  <c r="M22" i="2"/>
  <c r="M38" i="2"/>
  <c r="M24" i="2"/>
  <c r="N24" i="2" s="1"/>
  <c r="M41" i="2"/>
  <c r="N41" i="2" s="1"/>
  <c r="I47" i="2"/>
  <c r="I44" i="2"/>
  <c r="I48" i="2"/>
  <c r="I54" i="2"/>
  <c r="I34" i="2"/>
  <c r="I40" i="2"/>
  <c r="I41" i="2"/>
  <c r="I43" i="2"/>
  <c r="I45" i="2"/>
  <c r="M42" i="2"/>
  <c r="N42" i="2" s="1"/>
  <c r="J48" i="2"/>
  <c r="J54" i="2"/>
  <c r="J34" i="2"/>
  <c r="J40" i="2"/>
  <c r="J41" i="2"/>
  <c r="J45" i="2"/>
  <c r="J47" i="2"/>
  <c r="J44" i="2"/>
  <c r="J43" i="2"/>
  <c r="J59" i="2"/>
  <c r="J52" i="2"/>
  <c r="J38" i="2"/>
  <c r="J20" i="2"/>
  <c r="J62" i="2"/>
  <c r="J58" i="2"/>
  <c r="J56" i="2"/>
  <c r="J51" i="2"/>
  <c r="J39" i="2"/>
  <c r="J37" i="2"/>
  <c r="J35" i="2"/>
  <c r="J32" i="2"/>
  <c r="I62" i="2"/>
  <c r="I58" i="2"/>
  <c r="I56" i="2"/>
  <c r="I51" i="2"/>
  <c r="I39" i="2"/>
  <c r="I37" i="2"/>
  <c r="I35" i="2"/>
  <c r="I32" i="2"/>
  <c r="I59" i="2"/>
  <c r="I52" i="2"/>
  <c r="I38" i="2"/>
  <c r="I20" i="2"/>
  <c r="M80" i="2"/>
  <c r="N80" i="2" s="1"/>
  <c r="M76" i="2"/>
  <c r="N76" i="2" s="1"/>
  <c r="M96" i="2"/>
  <c r="N96" i="2" s="1"/>
  <c r="M105" i="2"/>
  <c r="N105" i="2" s="1"/>
  <c r="M88" i="2"/>
  <c r="N88" i="2" s="1"/>
  <c r="H31" i="5"/>
  <c r="H30" i="5"/>
  <c r="M78" i="2" l="1"/>
  <c r="N78" i="2" s="1"/>
  <c r="E21" i="5"/>
  <c r="M98" i="2"/>
  <c r="N98" i="2" s="1"/>
  <c r="M90" i="2"/>
  <c r="N90" i="2" s="1"/>
  <c r="M70" i="2"/>
  <c r="N70" i="2" s="1"/>
  <c r="M113" i="2"/>
  <c r="N113" i="2" s="1"/>
  <c r="M100" i="2"/>
  <c r="N100" i="2" s="1"/>
  <c r="E26" i="2"/>
  <c r="F26" i="2" s="1"/>
  <c r="J29" i="2"/>
  <c r="E83" i="2"/>
  <c r="F83" i="2" s="1"/>
  <c r="J6" i="9"/>
  <c r="J4" i="9"/>
  <c r="J5" i="9"/>
  <c r="I5" i="8"/>
  <c r="I6" i="8"/>
  <c r="I4" i="8"/>
  <c r="E6" i="9"/>
  <c r="F4" i="9"/>
  <c r="F5" i="9"/>
  <c r="F6" i="9"/>
  <c r="F4" i="8"/>
  <c r="E6" i="8"/>
  <c r="F5" i="8"/>
  <c r="F6" i="8"/>
  <c r="I8" i="3"/>
  <c r="I9" i="3"/>
  <c r="I7" i="3"/>
  <c r="F7" i="3"/>
  <c r="E9" i="3"/>
  <c r="F8" i="3"/>
  <c r="F9" i="3"/>
  <c r="E9" i="9"/>
  <c r="F8" i="9"/>
  <c r="F9" i="9"/>
  <c r="F7" i="9"/>
  <c r="J9" i="8"/>
  <c r="J7" i="8"/>
  <c r="J8" i="8"/>
  <c r="I9" i="9"/>
  <c r="I8" i="9"/>
  <c r="I7" i="9"/>
  <c r="I97" i="2"/>
  <c r="J8" i="3"/>
  <c r="J9" i="3"/>
  <c r="J7" i="3"/>
  <c r="I9" i="8"/>
  <c r="I7" i="8"/>
  <c r="I8" i="8"/>
  <c r="E9" i="8"/>
  <c r="F8" i="8"/>
  <c r="F9" i="8"/>
  <c r="F7" i="8"/>
  <c r="I5" i="9"/>
  <c r="I6" i="9"/>
  <c r="I4" i="9"/>
  <c r="J5" i="3"/>
  <c r="J6" i="3"/>
  <c r="J4" i="3"/>
  <c r="F4" i="3"/>
  <c r="F6" i="3"/>
  <c r="E6" i="3"/>
  <c r="F5" i="3"/>
  <c r="J9" i="9"/>
  <c r="J7" i="9"/>
  <c r="J8" i="9"/>
  <c r="I5" i="3"/>
  <c r="I6" i="3"/>
  <c r="I4" i="3"/>
  <c r="J6" i="8"/>
  <c r="J5" i="8"/>
  <c r="J4" i="8"/>
  <c r="I30" i="2"/>
  <c r="I109" i="2"/>
  <c r="E109" i="2"/>
  <c r="F109" i="2" s="1"/>
  <c r="M82" i="2"/>
  <c r="N82" i="2" s="1"/>
  <c r="E19" i="2"/>
  <c r="F19" i="2" s="1"/>
  <c r="I17" i="2"/>
  <c r="M43" i="2"/>
  <c r="N43" i="2" s="1"/>
  <c r="J73" i="2"/>
  <c r="M72" i="2"/>
  <c r="N72" i="2" s="1"/>
  <c r="I18" i="2"/>
  <c r="M47" i="2"/>
  <c r="N47" i="2" s="1"/>
  <c r="E21" i="2"/>
  <c r="F21" i="2" s="1"/>
  <c r="J89" i="2"/>
  <c r="I101" i="2"/>
  <c r="J69" i="2"/>
  <c r="J101" i="2"/>
  <c r="M108" i="2"/>
  <c r="N108" i="2" s="1"/>
  <c r="M110" i="2"/>
  <c r="N110" i="2" s="1"/>
  <c r="M103" i="2"/>
  <c r="N103" i="2" s="1"/>
  <c r="M49" i="2"/>
  <c r="N49" i="2" s="1"/>
  <c r="M34" i="2"/>
  <c r="N34" i="2" s="1"/>
  <c r="E23" i="2"/>
  <c r="F23" i="2" s="1"/>
  <c r="I73" i="2"/>
  <c r="M68" i="2"/>
  <c r="N68" i="2" s="1"/>
  <c r="M62" i="2"/>
  <c r="N62" i="2" s="1"/>
  <c r="E102" i="2"/>
  <c r="F102" i="2" s="1"/>
  <c r="E18" i="2"/>
  <c r="F18" i="2" s="1"/>
  <c r="E89" i="2"/>
  <c r="F89" i="2" s="1"/>
  <c r="I16" i="2"/>
  <c r="I99" i="2"/>
  <c r="E30" i="2"/>
  <c r="F30" i="2" s="1"/>
  <c r="E16" i="2"/>
  <c r="F16" i="2" s="1"/>
  <c r="I19" i="2"/>
  <c r="J91" i="2"/>
  <c r="M74" i="2"/>
  <c r="N74" i="2" s="1"/>
  <c r="E99" i="2"/>
  <c r="F99" i="2" s="1"/>
  <c r="I102" i="2"/>
  <c r="I91" i="2"/>
  <c r="E69" i="2"/>
  <c r="F69" i="2" s="1"/>
  <c r="M86" i="2"/>
  <c r="N86" i="2" s="1"/>
  <c r="E17" i="2"/>
  <c r="F17" i="2" s="1"/>
  <c r="M104" i="2"/>
  <c r="N104" i="2" s="1"/>
  <c r="J77" i="2"/>
  <c r="M84" i="2"/>
  <c r="N84" i="2" s="1"/>
  <c r="M44" i="2"/>
  <c r="N44" i="2" s="1"/>
  <c r="M111" i="2"/>
  <c r="N111" i="2" s="1"/>
  <c r="I50" i="2"/>
  <c r="J50" i="2"/>
  <c r="E61" i="2"/>
  <c r="F61" i="2" s="1"/>
  <c r="E33" i="2"/>
  <c r="F33" i="2" s="1"/>
  <c r="I63" i="2"/>
  <c r="I77" i="2"/>
  <c r="E66" i="2"/>
  <c r="F66" i="2" s="1"/>
  <c r="J28" i="2"/>
  <c r="I61" i="2"/>
  <c r="E36" i="2"/>
  <c r="F36" i="2" s="1"/>
  <c r="I23" i="2"/>
  <c r="I66" i="2"/>
  <c r="M46" i="2"/>
  <c r="N46" i="2" s="1"/>
  <c r="M48" i="2"/>
  <c r="N48" i="2" s="1"/>
  <c r="M92" i="2"/>
  <c r="N92" i="2" s="1"/>
  <c r="I33" i="2"/>
  <c r="M94" i="2"/>
  <c r="N94" i="2" s="1"/>
  <c r="M40" i="2"/>
  <c r="N40" i="2" s="1"/>
  <c r="I26" i="2"/>
  <c r="E67" i="2"/>
  <c r="F67" i="2" s="1"/>
  <c r="I29" i="2"/>
  <c r="I67" i="2"/>
  <c r="I36" i="2"/>
  <c r="E63" i="2"/>
  <c r="F63" i="2" s="1"/>
  <c r="L23" i="2"/>
  <c r="G23" i="2"/>
  <c r="K23" i="2"/>
  <c r="L16" i="2"/>
  <c r="G16" i="2"/>
  <c r="K16" i="2"/>
  <c r="L93" i="2"/>
  <c r="G93" i="2"/>
  <c r="K93" i="2"/>
  <c r="L30" i="2"/>
  <c r="G30" i="2"/>
  <c r="K30" i="2"/>
  <c r="L31" i="2"/>
  <c r="G31" i="2"/>
  <c r="K31" i="2"/>
  <c r="L77" i="2"/>
  <c r="G77" i="2"/>
  <c r="K77" i="2"/>
  <c r="L50" i="2"/>
  <c r="G50" i="2"/>
  <c r="K50" i="2"/>
  <c r="L81" i="2"/>
  <c r="G81" i="2"/>
  <c r="K81" i="2"/>
  <c r="L28" i="2"/>
  <c r="G28" i="2"/>
  <c r="K28" i="2"/>
  <c r="L29" i="2"/>
  <c r="G29" i="2"/>
  <c r="K29" i="2"/>
  <c r="L102" i="2"/>
  <c r="G102" i="2"/>
  <c r="K102" i="2"/>
  <c r="L83" i="2"/>
  <c r="G83" i="2"/>
  <c r="K83" i="2"/>
  <c r="L107" i="2"/>
  <c r="G107" i="2"/>
  <c r="K107" i="2"/>
  <c r="L97" i="2"/>
  <c r="G97" i="2"/>
  <c r="K97" i="2"/>
  <c r="L67" i="2"/>
  <c r="G67" i="2"/>
  <c r="K67" i="2"/>
  <c r="J21" i="5"/>
  <c r="L79" i="2"/>
  <c r="G79" i="2"/>
  <c r="K79" i="2"/>
  <c r="L32" i="2"/>
  <c r="G32" i="2"/>
  <c r="K32" i="2"/>
  <c r="L106" i="2"/>
  <c r="G106" i="2"/>
  <c r="K106" i="2"/>
  <c r="L99" i="2"/>
  <c r="G99" i="2"/>
  <c r="K99" i="2"/>
  <c r="L33" i="2"/>
  <c r="G33" i="2"/>
  <c r="K33" i="2"/>
  <c r="L19" i="2"/>
  <c r="G19" i="2"/>
  <c r="K19" i="2"/>
  <c r="L61" i="2"/>
  <c r="G61" i="2"/>
  <c r="K61" i="2"/>
  <c r="L87" i="2"/>
  <c r="G87" i="2"/>
  <c r="K87" i="2"/>
  <c r="L71" i="2"/>
  <c r="G71" i="2"/>
  <c r="K71" i="2"/>
  <c r="L91" i="2"/>
  <c r="G91" i="2"/>
  <c r="K91" i="2"/>
  <c r="L112" i="2"/>
  <c r="G112" i="2"/>
  <c r="K112" i="2"/>
  <c r="L37" i="2"/>
  <c r="G37" i="2"/>
  <c r="K37" i="2"/>
  <c r="L17" i="2"/>
  <c r="G17" i="2"/>
  <c r="K17" i="2"/>
  <c r="L73" i="2"/>
  <c r="G73" i="2"/>
  <c r="K73" i="2"/>
  <c r="L109" i="2"/>
  <c r="G109" i="2"/>
  <c r="K109" i="2"/>
  <c r="L66" i="2"/>
  <c r="G66" i="2"/>
  <c r="K66" i="2"/>
  <c r="L89" i="2"/>
  <c r="G89" i="2"/>
  <c r="K89" i="2"/>
  <c r="B18" i="5"/>
  <c r="L36" i="2"/>
  <c r="G36" i="2"/>
  <c r="K36" i="2"/>
  <c r="L18" i="2"/>
  <c r="G18" i="2"/>
  <c r="K18" i="2"/>
  <c r="L27" i="2"/>
  <c r="G27" i="2"/>
  <c r="K27" i="2"/>
  <c r="L26" i="2"/>
  <c r="G26" i="2"/>
  <c r="K26" i="2"/>
  <c r="L39" i="2"/>
  <c r="G39" i="2"/>
  <c r="K39" i="2"/>
  <c r="L69" i="2"/>
  <c r="G69" i="2"/>
  <c r="K69" i="2"/>
  <c r="L101" i="2"/>
  <c r="G101" i="2"/>
  <c r="K101" i="2"/>
  <c r="L20" i="2"/>
  <c r="G20" i="2"/>
  <c r="K20" i="2"/>
  <c r="L21" i="2"/>
  <c r="G21" i="2"/>
  <c r="K21" i="2"/>
  <c r="L63" i="2"/>
  <c r="G63" i="2"/>
  <c r="K63" i="2"/>
  <c r="N38" i="2"/>
  <c r="N22" i="2"/>
  <c r="J30" i="5"/>
  <c r="J31" i="5"/>
  <c r="H29" i="5"/>
  <c r="H28" i="5" s="1"/>
  <c r="E31" i="5"/>
  <c r="E30" i="5"/>
  <c r="F20" i="2"/>
  <c r="F22" i="2"/>
  <c r="F15" i="2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6" i="1"/>
  <c r="F6" i="1" s="1"/>
  <c r="J5" i="2" l="1"/>
  <c r="E9" i="2"/>
  <c r="I5" i="2"/>
  <c r="I8" i="2"/>
  <c r="J7" i="2"/>
  <c r="I4" i="2"/>
  <c r="J9" i="2"/>
  <c r="G20" i="5" s="1"/>
  <c r="F7" i="2"/>
  <c r="I7" i="2"/>
  <c r="I6" i="2"/>
  <c r="J4" i="2"/>
  <c r="J8" i="2"/>
  <c r="I9" i="2"/>
  <c r="J6" i="2"/>
  <c r="K8" i="2"/>
  <c r="K9" i="2"/>
  <c r="K7" i="2"/>
  <c r="F9" i="2"/>
  <c r="K5" i="2"/>
  <c r="K6" i="2"/>
  <c r="K4" i="2"/>
  <c r="F8" i="2"/>
  <c r="F4" i="2"/>
  <c r="E6" i="2"/>
  <c r="F6" i="2"/>
  <c r="F5" i="2"/>
  <c r="H21" i="2"/>
  <c r="M21" i="2"/>
  <c r="H36" i="2"/>
  <c r="M36" i="2"/>
  <c r="L7" i="2"/>
  <c r="L9" i="2"/>
  <c r="L8" i="2"/>
  <c r="H17" i="2"/>
  <c r="M17" i="2"/>
  <c r="H107" i="2"/>
  <c r="M107" i="2"/>
  <c r="H102" i="2"/>
  <c r="M102" i="2"/>
  <c r="H93" i="2"/>
  <c r="M93" i="2"/>
  <c r="H69" i="2"/>
  <c r="M69" i="2"/>
  <c r="H91" i="2"/>
  <c r="M91" i="2"/>
  <c r="H33" i="2"/>
  <c r="M33" i="2"/>
  <c r="H81" i="2"/>
  <c r="M81" i="2"/>
  <c r="H27" i="2"/>
  <c r="M27" i="2"/>
  <c r="B17" i="5"/>
  <c r="B11" i="5" s="1"/>
  <c r="C18" i="5"/>
  <c r="C21" i="5"/>
  <c r="H109" i="2"/>
  <c r="M109" i="2"/>
  <c r="H32" i="2"/>
  <c r="M32" i="2"/>
  <c r="H67" i="2"/>
  <c r="M67" i="2"/>
  <c r="H31" i="2"/>
  <c r="M31" i="2"/>
  <c r="H20" i="2"/>
  <c r="M20" i="2"/>
  <c r="H37" i="2"/>
  <c r="M37" i="2"/>
  <c r="H61" i="2"/>
  <c r="M61" i="2"/>
  <c r="H83" i="2"/>
  <c r="M83" i="2"/>
  <c r="H29" i="2"/>
  <c r="M29" i="2"/>
  <c r="H16" i="2"/>
  <c r="M16" i="2"/>
  <c r="H39" i="2"/>
  <c r="M39" i="2"/>
  <c r="H89" i="2"/>
  <c r="M89" i="2"/>
  <c r="H71" i="2"/>
  <c r="M71" i="2"/>
  <c r="H99" i="2"/>
  <c r="M99" i="2"/>
  <c r="H50" i="2"/>
  <c r="M50" i="2"/>
  <c r="L4" i="2"/>
  <c r="L6" i="2"/>
  <c r="L5" i="2"/>
  <c r="H63" i="2"/>
  <c r="M63" i="2"/>
  <c r="H18" i="2"/>
  <c r="M18" i="2"/>
  <c r="H73" i="2"/>
  <c r="M73" i="2"/>
  <c r="H79" i="2"/>
  <c r="M79" i="2"/>
  <c r="H97" i="2"/>
  <c r="M97" i="2"/>
  <c r="H30" i="2"/>
  <c r="M30" i="2"/>
  <c r="H101" i="2"/>
  <c r="M101" i="2"/>
  <c r="H112" i="2"/>
  <c r="M112" i="2"/>
  <c r="H19" i="2"/>
  <c r="M19" i="2"/>
  <c r="H28" i="2"/>
  <c r="M28" i="2"/>
  <c r="H23" i="2"/>
  <c r="M23" i="2"/>
  <c r="H26" i="2"/>
  <c r="M26" i="2"/>
  <c r="H66" i="2"/>
  <c r="M66" i="2"/>
  <c r="H87" i="2"/>
  <c r="M87" i="2"/>
  <c r="H106" i="2"/>
  <c r="M106" i="2"/>
  <c r="H77" i="2"/>
  <c r="M77" i="2"/>
  <c r="D31" i="5"/>
  <c r="D34" i="5"/>
  <c r="F30" i="5"/>
  <c r="G31" i="5"/>
  <c r="G22" i="5"/>
  <c r="G30" i="5"/>
  <c r="F33" i="5"/>
  <c r="G23" i="5"/>
  <c r="D33" i="5"/>
  <c r="D23" i="5"/>
  <c r="D22" i="5"/>
  <c r="F22" i="5"/>
  <c r="G33" i="5"/>
  <c r="G34" i="5"/>
  <c r="F31" i="5"/>
  <c r="D30" i="5"/>
  <c r="F23" i="5"/>
  <c r="F34" i="5"/>
  <c r="J29" i="5"/>
  <c r="H27" i="5"/>
  <c r="E29" i="5"/>
  <c r="H9" i="2" l="1"/>
  <c r="H7" i="2"/>
  <c r="G9" i="2"/>
  <c r="H8" i="2"/>
  <c r="D20" i="5"/>
  <c r="H4" i="2"/>
  <c r="G6" i="2"/>
  <c r="H5" i="2"/>
  <c r="H6" i="2"/>
  <c r="F20" i="5"/>
  <c r="D32" i="5"/>
  <c r="D21" i="5"/>
  <c r="G21" i="5"/>
  <c r="G29" i="5"/>
  <c r="F21" i="5"/>
  <c r="N77" i="2"/>
  <c r="N26" i="2"/>
  <c r="N112" i="2"/>
  <c r="N99" i="2"/>
  <c r="N16" i="2"/>
  <c r="N37" i="2"/>
  <c r="N32" i="2"/>
  <c r="N106" i="2"/>
  <c r="N23" i="2"/>
  <c r="H20" i="5"/>
  <c r="N71" i="2"/>
  <c r="N29" i="2"/>
  <c r="N20" i="2"/>
  <c r="N109" i="2"/>
  <c r="I20" i="5"/>
  <c r="N93" i="2"/>
  <c r="N79" i="2"/>
  <c r="N33" i="2"/>
  <c r="N102" i="2"/>
  <c r="N87" i="2"/>
  <c r="N28" i="2"/>
  <c r="I19" i="5"/>
  <c r="N89" i="2"/>
  <c r="N83" i="2"/>
  <c r="N31" i="2"/>
  <c r="N36" i="2"/>
  <c r="N63" i="2"/>
  <c r="N101" i="2"/>
  <c r="N73" i="2"/>
  <c r="N91" i="2"/>
  <c r="N107" i="2"/>
  <c r="N97" i="2"/>
  <c r="N81" i="2"/>
  <c r="N66" i="2"/>
  <c r="M7" i="2"/>
  <c r="M8" i="2"/>
  <c r="M9" i="2"/>
  <c r="N19" i="2"/>
  <c r="N50" i="2"/>
  <c r="N39" i="2"/>
  <c r="N61" i="2"/>
  <c r="N67" i="2"/>
  <c r="C17" i="5"/>
  <c r="C28" i="5"/>
  <c r="N21" i="2"/>
  <c r="N30" i="2"/>
  <c r="N18" i="2"/>
  <c r="N27" i="2"/>
  <c r="N69" i="2"/>
  <c r="N17" i="2"/>
  <c r="F29" i="5"/>
  <c r="D29" i="5"/>
  <c r="G32" i="5"/>
  <c r="F32" i="5"/>
  <c r="F19" i="5"/>
  <c r="H19" i="5"/>
  <c r="G19" i="5"/>
  <c r="G18" i="5" s="1"/>
  <c r="D19" i="5"/>
  <c r="J28" i="5"/>
  <c r="J27" i="5" s="1"/>
  <c r="E28" i="5"/>
  <c r="E27" i="5" s="1"/>
  <c r="M4" i="2"/>
  <c r="M5" i="2"/>
  <c r="M6" i="2"/>
  <c r="D18" i="5" l="1"/>
  <c r="D17" i="5" s="1"/>
  <c r="G17" i="5"/>
  <c r="F18" i="5"/>
  <c r="F17" i="5" s="1"/>
  <c r="H18" i="5"/>
  <c r="H17" i="5" s="1"/>
  <c r="H10" i="5" s="1"/>
  <c r="D28" i="5"/>
  <c r="D27" i="5" s="1"/>
  <c r="F28" i="5"/>
  <c r="F27" i="5" s="1"/>
  <c r="G28" i="5"/>
  <c r="G27" i="5" s="1"/>
  <c r="E20" i="5"/>
  <c r="J20" i="5"/>
  <c r="N4" i="2"/>
  <c r="N5" i="2"/>
  <c r="N6" i="2"/>
  <c r="I18" i="5"/>
  <c r="I17" i="5" s="1"/>
  <c r="N7" i="2"/>
  <c r="N8" i="2"/>
  <c r="N9" i="2"/>
  <c r="J19" i="5"/>
  <c r="E19" i="5"/>
  <c r="D10" i="5" l="1"/>
  <c r="G10" i="5"/>
  <c r="J4" i="5"/>
  <c r="J5" i="5"/>
  <c r="F10" i="5"/>
  <c r="H16" i="5"/>
  <c r="G16" i="5"/>
  <c r="F11" i="5"/>
  <c r="H11" i="5"/>
  <c r="E18" i="5"/>
  <c r="E17" i="5" s="1"/>
  <c r="E10" i="5" s="1"/>
  <c r="G11" i="5"/>
  <c r="F16" i="5"/>
  <c r="J18" i="5"/>
  <c r="J17" i="5" s="1"/>
  <c r="J16" i="5" s="1"/>
  <c r="I16" i="5"/>
  <c r="I11" i="5"/>
  <c r="I12" i="5" s="1"/>
  <c r="D16" i="5"/>
  <c r="D11" i="5"/>
  <c r="G12" i="5" l="1"/>
  <c r="G5" i="5" s="1"/>
  <c r="G4" i="5"/>
  <c r="H12" i="5"/>
  <c r="H5" i="5" s="1"/>
  <c r="H4" i="5"/>
  <c r="F12" i="5"/>
  <c r="F5" i="5" s="1"/>
  <c r="F4" i="5"/>
  <c r="D4" i="5"/>
  <c r="D12" i="5"/>
  <c r="D5" i="5" s="1"/>
  <c r="E11" i="5"/>
  <c r="E4" i="5" s="1"/>
  <c r="E16" i="5"/>
  <c r="J11" i="5"/>
  <c r="I4" i="5"/>
  <c r="I10" i="5"/>
  <c r="I5" i="5"/>
  <c r="J10" i="5" l="1"/>
  <c r="J12" i="5"/>
  <c r="E12" i="5"/>
  <c r="E5" i="5" s="1"/>
  <c r="H40" i="7"/>
  <c r="H7" i="7" s="1"/>
  <c r="K40" i="7"/>
  <c r="K7" i="7" s="1"/>
  <c r="J1" i="6"/>
  <c r="U1" i="6"/>
  <c r="F13" i="10" l="1"/>
  <c r="F16" i="10" s="1"/>
  <c r="H13" i="10"/>
  <c r="H16" i="10" s="1"/>
  <c r="I13" i="10" l="1"/>
  <c r="I16" i="10" l="1"/>
  <c r="C4" i="5"/>
  <c r="B4" i="5" s="1"/>
  <c r="C5" i="5"/>
  <c r="B5" i="5" s="1"/>
</calcChain>
</file>

<file path=xl/sharedStrings.xml><?xml version="1.0" encoding="utf-8"?>
<sst xmlns="http://schemas.openxmlformats.org/spreadsheetml/2006/main" count="1405" uniqueCount="495">
  <si>
    <t>Kód súpravy</t>
  </si>
  <si>
    <t>na sedenie</t>
  </si>
  <si>
    <t>na státie</t>
  </si>
  <si>
    <t>státie 70%</t>
  </si>
  <si>
    <t>výpočtové</t>
  </si>
  <si>
    <t>katalógové</t>
  </si>
  <si>
    <t>Klimatizácia</t>
  </si>
  <si>
    <t>počet vozňov</t>
  </si>
  <si>
    <t>celkom</t>
  </si>
  <si>
    <t>s klímou</t>
  </si>
  <si>
    <t>Toalety</t>
  </si>
  <si>
    <t>vákuové</t>
  </si>
  <si>
    <t>Bezbariérovosť</t>
  </si>
  <si>
    <t>počet WC vo vlaku</t>
  </si>
  <si>
    <t>Nízkopodlažnosť</t>
  </si>
  <si>
    <t>Č. Vlaku</t>
  </si>
  <si>
    <t>Nasadenie</t>
  </si>
  <si>
    <t>Ponúkaná kapacita</t>
  </si>
  <si>
    <t>sedenia</t>
  </si>
  <si>
    <t xml:space="preserve"> % podiel</t>
  </si>
  <si>
    <t>uvažovaná</t>
  </si>
  <si>
    <t>% podiel</t>
  </si>
  <si>
    <t>km</t>
  </si>
  <si>
    <t>Dĺžka trasy</t>
  </si>
  <si>
    <t>Os 4371</t>
  </si>
  <si>
    <t>"X"</t>
  </si>
  <si>
    <t>Os 4341</t>
  </si>
  <si>
    <t>Os 4373</t>
  </si>
  <si>
    <t>(6), †</t>
  </si>
  <si>
    <t>Os 4375</t>
  </si>
  <si>
    <t>Os 4343</t>
  </si>
  <si>
    <t>Os 4301</t>
  </si>
  <si>
    <t>Os 4377</t>
  </si>
  <si>
    <t>Os 4391</t>
  </si>
  <si>
    <t>Os 4345</t>
  </si>
  <si>
    <t>Zr 1761</t>
  </si>
  <si>
    <t>Os 4303</t>
  </si>
  <si>
    <t>Os 4347</t>
  </si>
  <si>
    <t>Os 4305</t>
  </si>
  <si>
    <t>Os 4349</t>
  </si>
  <si>
    <t>Zr 1765</t>
  </si>
  <si>
    <t>Os 4307</t>
  </si>
  <si>
    <t>Os 4309</t>
  </si>
  <si>
    <t>Zr 1769</t>
  </si>
  <si>
    <t>Os 4311</t>
  </si>
  <si>
    <t>Os 4313</t>
  </si>
  <si>
    <t>Zr 1773</t>
  </si>
  <si>
    <t>Os 4315</t>
  </si>
  <si>
    <t>Os 4351</t>
  </si>
  <si>
    <t>Zr 1775</t>
  </si>
  <si>
    <t>Os 4379</t>
  </si>
  <si>
    <t>Os 4317</t>
  </si>
  <si>
    <t>Os 4353</t>
  </si>
  <si>
    <t>Zr 1777</t>
  </si>
  <si>
    <t>Os 4319</t>
  </si>
  <si>
    <t>Os 4355</t>
  </si>
  <si>
    <t>Zr 1779</t>
  </si>
  <si>
    <t>Os 4381</t>
  </si>
  <si>
    <t>Os 4321</t>
  </si>
  <si>
    <t>Os 4357</t>
  </si>
  <si>
    <t>Zr 1781</t>
  </si>
  <si>
    <t>Os 4323</t>
  </si>
  <si>
    <t>Os 4359</t>
  </si>
  <si>
    <t>Zr 1783</t>
  </si>
  <si>
    <t>Os 4383</t>
  </si>
  <si>
    <t>Os 4325</t>
  </si>
  <si>
    <t>Os 4361</t>
  </si>
  <si>
    <t>Zr 1785</t>
  </si>
  <si>
    <t>Os 4327</t>
  </si>
  <si>
    <t>Os 4363</t>
  </si>
  <si>
    <t>Zr 1787</t>
  </si>
  <si>
    <t>Os 4329</t>
  </si>
  <si>
    <t>Zr 1789</t>
  </si>
  <si>
    <t>Os 4331</t>
  </si>
  <si>
    <t>Os 4333</t>
  </si>
  <si>
    <t>Os 4335</t>
  </si>
  <si>
    <t>deň</t>
  </si>
  <si>
    <t>vlak</t>
  </si>
  <si>
    <t>dĺžka</t>
  </si>
  <si>
    <t>Os 4300</t>
  </si>
  <si>
    <t>Os 4340</t>
  </si>
  <si>
    <t>Zr 1760</t>
  </si>
  <si>
    <t>Os 4342</t>
  </si>
  <si>
    <t>Os 4370</t>
  </si>
  <si>
    <t>Os 4302</t>
  </si>
  <si>
    <t>Os 4372</t>
  </si>
  <si>
    <t>Zr 1762</t>
  </si>
  <si>
    <t>Os 4344</t>
  </si>
  <si>
    <t>Os 4304</t>
  </si>
  <si>
    <t>Zr 1764</t>
  </si>
  <si>
    <t>Os 4346</t>
  </si>
  <si>
    <t>Os 4306</t>
  </si>
  <si>
    <t>Os 4374</t>
  </si>
  <si>
    <t>Zr 1766</t>
  </si>
  <si>
    <t>Os 4348</t>
  </si>
  <si>
    <t>Os 4308</t>
  </si>
  <si>
    <t>Zr 1768</t>
  </si>
  <si>
    <t>Os 4350</t>
  </si>
  <si>
    <t>Os 4310</t>
  </si>
  <si>
    <t>Os 4312</t>
  </si>
  <si>
    <t>Zr 1772</t>
  </si>
  <si>
    <t>Os 4314</t>
  </si>
  <si>
    <t>Os 4316</t>
  </si>
  <si>
    <t>Zr 1776</t>
  </si>
  <si>
    <t>Os 4318</t>
  </si>
  <si>
    <t>Os 4352</t>
  </si>
  <si>
    <t>Os 4320</t>
  </si>
  <si>
    <t>Zr 1780</t>
  </si>
  <si>
    <t>Os 4354</t>
  </si>
  <si>
    <t>Os 4322</t>
  </si>
  <si>
    <t>Os 4376</t>
  </si>
  <si>
    <t>Zr 1782</t>
  </si>
  <si>
    <t>Os 4356</t>
  </si>
  <si>
    <t>Os 4324</t>
  </si>
  <si>
    <t>Zr 1784</t>
  </si>
  <si>
    <t>Os 4358</t>
  </si>
  <si>
    <t>Os 4326</t>
  </si>
  <si>
    <t>Os 4378</t>
  </si>
  <si>
    <t>Zr 1786</t>
  </si>
  <si>
    <t>Os 4360</t>
  </si>
  <si>
    <t>Os 4328</t>
  </si>
  <si>
    <t>Zr 1788</t>
  </si>
  <si>
    <t>Os 4362</t>
  </si>
  <si>
    <t>Os 4330</t>
  </si>
  <si>
    <t>Os 4380</t>
  </si>
  <si>
    <t>Zr 1790</t>
  </si>
  <si>
    <t>Os 4364</t>
  </si>
  <si>
    <t>Os 4332</t>
  </si>
  <si>
    <t>Zr 1792</t>
  </si>
  <si>
    <t>Os 4382</t>
  </si>
  <si>
    <t>Os 4336</t>
  </si>
  <si>
    <t>Kapacita = počet miest</t>
  </si>
  <si>
    <t>uvažovaný</t>
  </si>
  <si>
    <t>Plnenie kritérií</t>
  </si>
  <si>
    <t>Kapacita</t>
  </si>
  <si>
    <t>smer Komárno</t>
  </si>
  <si>
    <t>smer Bratislava</t>
  </si>
  <si>
    <t>Požadované</t>
  </si>
  <si>
    <t>Pracovné</t>
  </si>
  <si>
    <t>Vákuové Toalety</t>
  </si>
  <si>
    <t>Ponuka celkom</t>
  </si>
  <si>
    <t>Obdobie</t>
  </si>
  <si>
    <t>vlaky</t>
  </si>
  <si>
    <t>Podiel sediacich</t>
  </si>
  <si>
    <t>splnené</t>
  </si>
  <si>
    <t>kapacita A</t>
  </si>
  <si>
    <t>kapacita C</t>
  </si>
  <si>
    <t>Víkendové</t>
  </si>
  <si>
    <t>kapacita B</t>
  </si>
  <si>
    <t>kapacita D</t>
  </si>
  <si>
    <t>Sediaci</t>
  </si>
  <si>
    <t>kapacity</t>
  </si>
  <si>
    <t>% plnenie</t>
  </si>
  <si>
    <t>Požadovaná kapacita (C)</t>
  </si>
  <si>
    <t>Požadovaná kapacita (A)</t>
  </si>
  <si>
    <t>cestujúcich</t>
  </si>
  <si>
    <t>% podiel vstupov</t>
  </si>
  <si>
    <t>počet sedadiel vo vlaku</t>
  </si>
  <si>
    <t>s výškou nad temenom koľaje</t>
  </si>
  <si>
    <t>do 500mm</t>
  </si>
  <si>
    <t>501-600mm</t>
  </si>
  <si>
    <t>601-800mm</t>
  </si>
  <si>
    <t>výkon klímy</t>
  </si>
  <si>
    <t>počet cestujúcich</t>
  </si>
  <si>
    <t>merná spotreba nafty</t>
  </si>
  <si>
    <t>g/kWh</t>
  </si>
  <si>
    <t xml:space="preserve">prevádzka cca </t>
  </si>
  <si>
    <t>merná hustota nafty</t>
  </si>
  <si>
    <t>l/h</t>
  </si>
  <si>
    <t>cena nafty</t>
  </si>
  <si>
    <t>spotreba nafty</t>
  </si>
  <si>
    <t>Prevádzkové náklady</t>
  </si>
  <si>
    <t>Obstarávacie náklady</t>
  </si>
  <si>
    <t>inštalácia</t>
  </si>
  <si>
    <t>€/vozeň</t>
  </si>
  <si>
    <t>kg/l</t>
  </si>
  <si>
    <t>€/h</t>
  </si>
  <si>
    <t>€/rok/vozeň</t>
  </si>
  <si>
    <t>kW/vozeň</t>
  </si>
  <si>
    <t>spolu</t>
  </si>
  <si>
    <t>pracovné dni</t>
  </si>
  <si>
    <t>prázdninové dni</t>
  </si>
  <si>
    <t>víkendové dni</t>
  </si>
  <si>
    <t>BA - KV</t>
  </si>
  <si>
    <t>BA - DS</t>
  </si>
  <si>
    <t>BA - KN</t>
  </si>
  <si>
    <t>DS - KN</t>
  </si>
  <si>
    <t>relácia</t>
  </si>
  <si>
    <t>jazda (h)</t>
  </si>
  <si>
    <t>€/rok</t>
  </si>
  <si>
    <t>h/rok/vozeň</t>
  </si>
  <si>
    <t>prevádzka cca</t>
  </si>
  <si>
    <t>Socioekonomika</t>
  </si>
  <si>
    <t>vozňohodín A</t>
  </si>
  <si>
    <t>vozňohodín C</t>
  </si>
  <si>
    <t>vozňohodín B</t>
  </si>
  <si>
    <t>vozňohodín D</t>
  </si>
  <si>
    <t>jednotkový VOT</t>
  </si>
  <si>
    <t>min</t>
  </si>
  <si>
    <t>10% zlepšenie</t>
  </si>
  <si>
    <t>€</t>
  </si>
  <si>
    <t>min/cesta</t>
  </si>
  <si>
    <t>€/cesta</t>
  </si>
  <si>
    <t>€/hod</t>
  </si>
  <si>
    <t>os/deň</t>
  </si>
  <si>
    <t>€/deň</t>
  </si>
  <si>
    <t>spolu 100%</t>
  </si>
  <si>
    <t>náklady na čistenie</t>
  </si>
  <si>
    <t>€/vozeň/deň</t>
  </si>
  <si>
    <t>vozňov pracovné</t>
  </si>
  <si>
    <t>vozňov prázdniny</t>
  </si>
  <si>
    <t>vozňov víkend</t>
  </si>
  <si>
    <t>vozňodní</t>
  </si>
  <si>
    <t>plné sedačky</t>
  </si>
  <si>
    <t>státie nad 20 min</t>
  </si>
  <si>
    <t>státie do 10 min</t>
  </si>
  <si>
    <t>až 100% sedačkovej kapacity</t>
  </si>
  <si>
    <t>bez prirážky</t>
  </si>
  <si>
    <t>Obstaranie</t>
  </si>
  <si>
    <t>Prevádzka</t>
  </si>
  <si>
    <t>dňa</t>
  </si>
  <si>
    <t>1,5 záchoda na vlak</t>
  </si>
  <si>
    <t>A</t>
  </si>
  <si>
    <t>B</t>
  </si>
  <si>
    <t>váha</t>
  </si>
  <si>
    <t>€ / 9 r.</t>
  </si>
  <si>
    <t>odpis za 9 r.</t>
  </si>
  <si>
    <t>problémový úsek</t>
  </si>
  <si>
    <t>€ / cest.</t>
  </si>
  <si>
    <t>zlepšenie o 17% (pracovný deň) = 1,3 mil. €</t>
  </si>
  <si>
    <t>plné sedačky (100%)</t>
  </si>
  <si>
    <t xml:space="preserve">premenlivé </t>
  </si>
  <si>
    <t>14DMU+16voz.</t>
  </si>
  <si>
    <t>vozňohodín pracovné</t>
  </si>
  <si>
    <t>vozňohodín prázdniny</t>
  </si>
  <si>
    <t>vozňohodín víkend</t>
  </si>
  <si>
    <t>počet dni pracovné</t>
  </si>
  <si>
    <t>počet dní prázdninové</t>
  </si>
  <si>
    <t>počet dní víkendové</t>
  </si>
  <si>
    <t>frekvencia čistenia</t>
  </si>
  <si>
    <t>cena bežného vozňa</t>
  </si>
  <si>
    <t>cena nízkopodlažného</t>
  </si>
  <si>
    <t>rozdiel ceny vozňa</t>
  </si>
  <si>
    <t>vozňohod/rok</t>
  </si>
  <si>
    <t>spolu náklad</t>
  </si>
  <si>
    <t>spolu pravádzka</t>
  </si>
  <si>
    <t>spolu prevádzka</t>
  </si>
  <si>
    <t>vypočítané v grafikon</t>
  </si>
  <si>
    <t>Preplnenosť</t>
  </si>
  <si>
    <t>Preplnenosť do 10 min</t>
  </si>
  <si>
    <t>Preplnenosť nad 20 min</t>
  </si>
  <si>
    <t>Preplnenosť &gt;20 min</t>
  </si>
  <si>
    <t>cez exponent</t>
  </si>
  <si>
    <t>Hodnota ponuky</t>
  </si>
  <si>
    <t>+</t>
  </si>
  <si>
    <t>-</t>
  </si>
  <si>
    <t>k sedeniu</t>
  </si>
  <si>
    <t>% dopyt</t>
  </si>
  <si>
    <t>a=</t>
  </si>
  <si>
    <t>b=</t>
  </si>
  <si>
    <t>parametre</t>
  </si>
  <si>
    <t>bezbariérový</t>
  </si>
  <si>
    <t>vždy=1, inak=0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</si>
  <si>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</si>
  <si>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</si>
  <si>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</si>
  <si>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</si>
  <si>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</si>
  <si>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</si>
  <si>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</si>
  <si>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</si>
  <si>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</si>
  <si>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</si>
  <si>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</si>
  <si>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</si>
  <si>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</si>
  <si>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</si>
  <si>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</si>
  <si>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</si>
  <si>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vozeň je radený</t>
  </si>
  <si>
    <t>dopyt A</t>
  </si>
  <si>
    <t>dopyt C</t>
  </si>
  <si>
    <t>dopyt B</t>
  </si>
  <si>
    <t>dopyt D</t>
  </si>
  <si>
    <t>x</t>
  </si>
  <si>
    <t>BBB</t>
  </si>
  <si>
    <t>BB</t>
  </si>
  <si>
    <t>S</t>
  </si>
  <si>
    <t>Nízkopodlažnosť (úrovňový prístup) = počet vstupov</t>
  </si>
  <si>
    <t>c=</t>
  </si>
  <si>
    <t xml:space="preserve">presah cez 70% </t>
  </si>
  <si>
    <t>naplnenie sedačkovej kapacity</t>
  </si>
  <si>
    <t>(plné sedačky) 100%</t>
  </si>
  <si>
    <t>(max kapacita) 170%</t>
  </si>
  <si>
    <t>státie &gt;20 min (160%)</t>
  </si>
  <si>
    <t>až 160% sedačkovej kapacity</t>
  </si>
  <si>
    <t>až 200% sedačkovej kapacity</t>
  </si>
  <si>
    <t>modelované hodnoty</t>
  </si>
  <si>
    <t>integrál</t>
  </si>
  <si>
    <t>funkcia</t>
  </si>
  <si>
    <t>presah cez 80%</t>
  </si>
  <si>
    <t>VOT of CF to 20 min</t>
  </si>
  <si>
    <t>Costs x 20 min</t>
  </si>
  <si>
    <t>Crowding</t>
  </si>
  <si>
    <t>C.factor %/min TT</t>
  </si>
  <si>
    <t>C.costs min/min (table 3)</t>
  </si>
  <si>
    <t>sedačkovej kapacity</t>
  </si>
  <si>
    <t>VOT</t>
  </si>
  <si>
    <t>počítané cez stratu na preplnenosti (-2 sedačky na vlak)</t>
  </si>
  <si>
    <t>strata pre Bteer</t>
  </si>
  <si>
    <t>€ / 1 r.</t>
  </si>
  <si>
    <t>(životnosť 40 r.)</t>
  </si>
  <si>
    <t>(životnosť 10 r.)</t>
  </si>
  <si>
    <t>podľa table 3 v štúdii</t>
  </si>
  <si>
    <t>=</t>
  </si>
  <si>
    <t>znamienko</t>
  </si>
  <si>
    <t>hodnota</t>
  </si>
  <si>
    <t>cez integrál</t>
  </si>
  <si>
    <t>Bx</t>
  </si>
  <si>
    <t>BBx</t>
  </si>
  <si>
    <t>BBBx</t>
  </si>
  <si>
    <t>Požadovaná kapacita</t>
  </si>
  <si>
    <t>scenár A</t>
  </si>
  <si>
    <t>scenár B</t>
  </si>
  <si>
    <t>scenár Bx</t>
  </si>
  <si>
    <t>scenár C</t>
  </si>
  <si>
    <t>číslo</t>
  </si>
  <si>
    <t>Scenár číslo</t>
  </si>
  <si>
    <t>Bteer bezbariérové</t>
  </si>
  <si>
    <t>Bteer bariérové</t>
  </si>
  <si>
    <t>Strata</t>
  </si>
  <si>
    <t>Strata na iných parametroch</t>
  </si>
  <si>
    <t>spolu max 100%</t>
  </si>
  <si>
    <t>Obdobie II</t>
  </si>
  <si>
    <t>Obdobie III</t>
  </si>
  <si>
    <t>scenár Cmax</t>
  </si>
  <si>
    <t>Cmax</t>
  </si>
  <si>
    <t xml:space="preserve"> / 1%</t>
  </si>
  <si>
    <t>počet rokov</t>
  </si>
  <si>
    <t>Dopravná cesta</t>
  </si>
  <si>
    <t>bezbaríér. Vozne</t>
  </si>
  <si>
    <t>Vákuové toalety (WC)</t>
  </si>
  <si>
    <t>Sedenie</t>
  </si>
  <si>
    <t>katalógový</t>
  </si>
  <si>
    <t>počet miest</t>
  </si>
  <si>
    <t>% podiel miest</t>
  </si>
  <si>
    <t>s klimatizáciou</t>
  </si>
  <si>
    <t>vákuových</t>
  </si>
  <si>
    <t>Požadovaná kapacita (B)</t>
  </si>
  <si>
    <t>Požadovaná kapacita (D)</t>
  </si>
  <si>
    <t>Pracovné III</t>
  </si>
  <si>
    <t>Víkend III</t>
  </si>
  <si>
    <t>Pracovné II</t>
  </si>
  <si>
    <t>Víkend II</t>
  </si>
  <si>
    <t>9-ročná zmluva</t>
  </si>
  <si>
    <t>Rok celkom</t>
  </si>
  <si>
    <t>Kapacita (A/B/C/D)</t>
  </si>
  <si>
    <t>Kapacita (A/C)</t>
  </si>
  <si>
    <t>Kapacita (B/D)</t>
  </si>
  <si>
    <t>Cena ponuky (9 r.)</t>
  </si>
  <si>
    <t>Ponuka 9 r.</t>
  </si>
  <si>
    <t>Cena / 1 vl.km</t>
  </si>
  <si>
    <t>V</t>
  </si>
  <si>
    <t>T</t>
  </si>
  <si>
    <t>Skratka</t>
  </si>
  <si>
    <t>Trakčná nafta</t>
  </si>
  <si>
    <t>Obdobie I: XII/2022 - XI/2023</t>
  </si>
  <si>
    <t>Cena / rok</t>
  </si>
  <si>
    <t>roky</t>
  </si>
  <si>
    <t>rokov</t>
  </si>
  <si>
    <t>neindexované</t>
  </si>
  <si>
    <t>In</t>
  </si>
  <si>
    <t>Im</t>
  </si>
  <si>
    <t>Ic</t>
  </si>
  <si>
    <t>len ak zmena 
poplatkov</t>
  </si>
  <si>
    <t>Referenčný výkon (vl.km)</t>
  </si>
  <si>
    <t>rok</t>
  </si>
  <si>
    <t>Ponuka spoločnosti:</t>
  </si>
  <si>
    <t>Io</t>
  </si>
  <si>
    <t>Cena celkom</t>
  </si>
  <si>
    <t>Index inflácie</t>
  </si>
  <si>
    <t>Celková fixná zložka</t>
  </si>
  <si>
    <t>Celková pružná zložka</t>
  </si>
  <si>
    <t>Riadok 7: v stĺpci E, resp. v stĺpci G</t>
  </si>
  <si>
    <t>Riadok 8: v stĺpci E, resp. v stĺpci G</t>
  </si>
  <si>
    <t>Riadok 9: v stĺpci E, resp. v stĺpci G</t>
  </si>
  <si>
    <t>Riadok 10: v stĺpci E, resp. v stĺpci G</t>
  </si>
  <si>
    <t>vyplňte</t>
  </si>
  <si>
    <t xml:space="preserve">Riadok 6: </t>
  </si>
  <si>
    <t xml:space="preserve">nevypĺňate </t>
  </si>
  <si>
    <t xml:space="preserve">vyplňte </t>
  </si>
  <si>
    <t>Riadok 11:</t>
  </si>
  <si>
    <t>Riadok 12:</t>
  </si>
  <si>
    <t>Riadok 13:</t>
  </si>
  <si>
    <t>Vysvetlivky a inštrukcie:</t>
  </si>
  <si>
    <t>Riadok 5:</t>
  </si>
  <si>
    <t>Stĺpec A</t>
  </si>
  <si>
    <t>Stĺpec B</t>
  </si>
  <si>
    <t>Stĺpec C</t>
  </si>
  <si>
    <t>Stĺpec D</t>
  </si>
  <si>
    <t>Stĺpec E</t>
  </si>
  <si>
    <t>Stĺpec F</t>
  </si>
  <si>
    <t>Stĺpec G</t>
  </si>
  <si>
    <t>Stĺpec H</t>
  </si>
  <si>
    <t>Stĺpec I</t>
  </si>
  <si>
    <t>Stĺpec J</t>
  </si>
  <si>
    <t>Stĺpec K</t>
  </si>
  <si>
    <t>Položka</t>
  </si>
  <si>
    <t>názov nákladovej / výnosovej položky</t>
  </si>
  <si>
    <t>skratka nákladovej / výnosovej položky</t>
  </si>
  <si>
    <t>výpočítaná 
F = E / 1 600 000</t>
  </si>
  <si>
    <t>výpočítaná 
H = G / 1 600 000</t>
  </si>
  <si>
    <t>uplatňovaný inflačný index na danú položku:</t>
  </si>
  <si>
    <t>ročné predpokladané náklady / výnosy v období II pri referenčnom výkone 1 600 000 vl.km</t>
  </si>
  <si>
    <t>ročné predpokladané náklady / výnosy v období III pri referenčnom výkone 1 600 000 vl.km</t>
  </si>
  <si>
    <t>obsahuje referenčný predpokladaný dopravný výkon 1 600 000 vl.km</t>
  </si>
  <si>
    <t>ročnú predpokladanú výšku mzdových nákladov pri referenčnom dopravnom výkone 1 600 000 vl.km</t>
  </si>
  <si>
    <t>ročnú predpokladanú výšku nákladov na trakčnú naftu pri referenčnom dopravnom výkone 1 600 000 vl.km</t>
  </si>
  <si>
    <t>ročnú predpokladanú výšku fixných nákladov (odpisy, nájmy, leasingy)</t>
  </si>
  <si>
    <t>Io - Ic</t>
  </si>
  <si>
    <t>index úpravy taríf cestovného</t>
  </si>
  <si>
    <t>index vývoja priemerných mzdových nákladov</t>
  </si>
  <si>
    <t>index vývoja priemerných cien pohonných látok - nafty</t>
  </si>
  <si>
    <t>index vývoja spotrebiteľských cien úhrnom (CPI)</t>
  </si>
  <si>
    <t>vypočítaná
S = M+N+O+F</t>
  </si>
  <si>
    <t>ročná výška súhrnných nákladov bez dopravnej cesty</t>
  </si>
  <si>
    <t xml:space="preserve"> vážené % cez</t>
  </si>
  <si>
    <t>kapacitu</t>
  </si>
  <si>
    <t>požadované</t>
  </si>
  <si>
    <t>27/27 vlakov</t>
  </si>
  <si>
    <t>49/49 vlakov</t>
  </si>
  <si>
    <t>Inštrukcie:</t>
  </si>
  <si>
    <t>Obdobie III:</t>
  </si>
  <si>
    <t>Obdobie II:</t>
  </si>
  <si>
    <t>vyplňte modro zvýraznené bunky v stĺpci B (od riadku 15 nižšie), kódmi definovanými v hárku Súpravy</t>
  </si>
  <si>
    <t>neoceňuje sa</t>
  </si>
  <si>
    <t>vypočítaná
C = S - T</t>
  </si>
  <si>
    <t>9 rokov</t>
  </si>
  <si>
    <t>náklady na dopravnú cestu (v ponuke neuvažované, budú kompenzované v skutočnej výške)</t>
  </si>
  <si>
    <t>Celková cena ponuky</t>
  </si>
  <si>
    <r>
      <t xml:space="preserve">Náklady spolu </t>
    </r>
    <r>
      <rPr>
        <sz val="10"/>
        <color theme="1"/>
        <rFont val="Calibri"/>
        <family val="2"/>
        <charset val="238"/>
        <scheme val="minor"/>
      </rPr>
      <t>(bez dopravnej cesty)</t>
    </r>
  </si>
  <si>
    <t>Priame zadanie</t>
  </si>
  <si>
    <t>na prevádzkovanie osobnej železničnej dopravy vo verejnom záujme</t>
  </si>
  <si>
    <t>na trati Bratislava – Dunajská Streda – Komárno</t>
  </si>
  <si>
    <t>Popis 
(typy vozňov / radenie súpravy)</t>
  </si>
  <si>
    <t>Kód vozňa / súpravy</t>
  </si>
  <si>
    <t>Zadajte ľubovoľný alfanumerický kód danej kombinácie predpokladaného radenia vlakovej súpravy, ktorý budete následne používať pri vypĺňaní hárkov predpokladaného nasadenia v pracovných, resp. víkendových dňoch ponukového obdobia. 
Nepoužívajte interpunkciu, matematické operátory a iné symboly.</t>
  </si>
  <si>
    <t>Pre prehľadnosť ponuky a elimináciu prípadných omylov pri vypĺňaní hárkov predpokladaného nasadenia odporúčame zvoliť ľahko zrozumiteľný systém kódovania: 
- najskôr definujte jednotlivé typy vozňov/jednotiek, ktoré plánujete využiť a 
- následne ich všetky kombinácie v nasadených radeniach súpravy, 
napr.: A = vozeň prvého typu (napr. typu Bdteer), 
B = vozeň iného typu (s odlišným počtom sedadiel, vybavením, klimatizáciou a pod.), 
AAB = v súprave sú radené spolu tri vozne: dva vozne typu A a jeden vozeň typu B, atď...</t>
  </si>
  <si>
    <t>Zadajte počet miest na sedenie podľa výrobného / informačného listu výrobcu, vrátane sklopných sedadiel.</t>
  </si>
  <si>
    <t>Zadajte počet miest na státie podľa výrobného / informačného listu výrobcu, ak je v ňom uvedený a súčasne je definované pri akej podlažnej obsadenosti (max 3 osoby / m2).</t>
  </si>
  <si>
    <t>Automaticky vypočítaný teoreticky maximálny počet miest na státie, vypočítaný ako 70% z počtu miest na sedenie.</t>
  </si>
  <si>
    <t>Automaticky vypočítaná celková uvažovaná kapacita, vypočítaná ako počet miest na sedenie plus väčšia z hodnôt z katalógového, resp. teoretického počtu miest na státie.</t>
  </si>
  <si>
    <t>Automaticky duplikovaná hodnota zo stĺpca C.</t>
  </si>
  <si>
    <t>Zadajte počet sedadiel daného typu vozňa / jednotky v oddieloch vybavených klimatizáciou. 
Ak ide o súpravu, zadajte súčet počtu sedadiel v oddieloch vybavených klimatizáciou vo všetkých radených vozňoch / jednotkách.</t>
  </si>
  <si>
    <t>Automaticky vypočítaný percentuálny podiel sedadiel v danom radení vlaku, vypočítaný ako podiel hodnôt v stĺpci H a stĺpci G x 100 podľa vzorca: H/Gx100.</t>
  </si>
  <si>
    <t>Zadajte celkový počet WC v danom type vozňa / jednotky. 
Ak ide o súpravu, zadajte súčet počtu WC vo všetkých radených vozňoch / jednotkách.</t>
  </si>
  <si>
    <t>Zadajte počet vákuových WC v danom type vozňa / jednotky. 
Ak ide o súpravu, zadajte súčet počtu vákuových WC vo všetkých radených vozňoch / jednotkách.</t>
  </si>
  <si>
    <t>Stĺpec L</t>
  </si>
  <si>
    <t>Automaticky vypočítaný percentuálny podiel sedadiel v danom radení vlaku, vypočítaný ako podiel hodnôt v stĺpci K a stĺpci J x 100 podľa vzorca: K/Jx100.</t>
  </si>
  <si>
    <t>Stĺpec M</t>
  </si>
  <si>
    <t>Zadajte celkový počet vstupov v danom type vozňa / jednotky. 
Ak ide o súpravu, zadajte súčet vstupov všetkých radených vozňov / jednotiek.</t>
  </si>
  <si>
    <t>Stĺpec N</t>
  </si>
  <si>
    <t>Zadajte počet vstupov v danom type vozňa / jednotky s výškou nad temenom koľajnice do 500 mm. Ak ide o súpravu, zadajte súčet vstupov s výškou nad temenom koľajnice do 500 mm všetkých radených vozňov / jednotiek.</t>
  </si>
  <si>
    <t>Stĺpec O</t>
  </si>
  <si>
    <t>Zadajte počet vstupov v danom type vozňa / jednotky s výškou nad temenom koľajnice v rozpätí od 501 až do 600 mm.
Ak ide o súpravu, zadajte súčet vstupov s výškou nad temenom koľajnice v rozpätí od 501 až do 600 mm všetkých radených vozňov / jednotiek.</t>
  </si>
  <si>
    <t>Stĺpec P</t>
  </si>
  <si>
    <t>Zadajte počet vstupov v danom type vozňa / jednotky s výškou nad temenom koľajnice v rozpätí od 601 až do 800 mm. 
Ak ide o súpravu, zadajte súčet vstupov s výškou nad temenom koľajnice v rozpätí od 601 až do 800 mm všetkých radených vozňov / jednotiek.</t>
  </si>
  <si>
    <t>Stĺpec Q</t>
  </si>
  <si>
    <t>Automaticky vypočítaný percentuálny podiel nizkopodlažnosti uvažovaný pri hodnotení, vypočítaný ako podiel súčtu stĺpcov N s váhou 80%, 
O s váhou 100% a P s váhou 70% voči stĺpcu M podľa vzorca: (0,8xN + O + 0,7xP)/M.</t>
  </si>
  <si>
    <t>Zadajte krátky slovný popis predpokladaného typu a radenia nasadenej súpravy pre lepšiu orientáciu a možnosť kontroly reálnosti zadaných parametrov. 
Neuvádzajte konkrétne typy vozňov / jednotiek, ale skôr významné kvalitatívne parametre (napr. nízkopodlažný vozeň s vákuovými WC).</t>
  </si>
  <si>
    <t>Podiel sediacich (pôvodne)</t>
  </si>
  <si>
    <t xml:space="preserve"> / 1% / 1 rok</t>
  </si>
  <si>
    <r>
      <t xml:space="preserve">Obdobie II:
</t>
    </r>
    <r>
      <rPr>
        <b/>
        <sz val="12"/>
        <color rgb="FFFF0000"/>
        <rFont val="Calibri"/>
        <family val="2"/>
        <charset val="238"/>
        <scheme val="minor"/>
      </rPr>
      <t>XII/2023 - XII/2025</t>
    </r>
  </si>
  <si>
    <r>
      <t xml:space="preserve">Obdobie III:
</t>
    </r>
    <r>
      <rPr>
        <b/>
        <sz val="12"/>
        <color rgb="FFFF0000"/>
        <rFont val="Calibri"/>
        <family val="2"/>
        <charset val="238"/>
        <scheme val="minor"/>
      </rPr>
      <t>XII/2025 - XII/2032</t>
    </r>
  </si>
  <si>
    <t>XII/2023 - XII/2025</t>
  </si>
  <si>
    <t>XII/2025 - XII/2032</t>
  </si>
  <si>
    <t>ref. kapacitné os.km</t>
  </si>
  <si>
    <t>jednotkové náklady / výnosy danej položky na 1 vl.km za obdobie II,
vypočítané ako podiel hodnoty zo stĺpca E a referenčného dopravného výkonu 1 600 000 vl.km</t>
  </si>
  <si>
    <t>výpočítaná 
I = 2xE + 7xG</t>
  </si>
  <si>
    <t>jednotkové náklady / výnosy danej položky na 1 vl.km za obdobie III,
vypočítané ako podiel hodnoty zo stĺpca G a referenčného dopravného výkonu 1 600 000 vl.km</t>
  </si>
  <si>
    <t>kapacitné km</t>
  </si>
  <si>
    <t>ref. kapacitné km</t>
  </si>
  <si>
    <t>Fixné náklady</t>
  </si>
  <si>
    <t>dátum a miesto predloženia ponuky</t>
  </si>
  <si>
    <t>vážené cez referenčné kapacitné km</t>
  </si>
  <si>
    <t>Celkom II+III</t>
  </si>
  <si>
    <t>pečiatka a podpis zástupcu spoločnosti</t>
  </si>
  <si>
    <t>suma celkových nákladov za obdobie II a obdobie III</t>
  </si>
  <si>
    <t>Náklady uvádzajte v cenovej úrovni 1Q/2022</t>
  </si>
  <si>
    <t>celková cena ponuky za dané obdobie</t>
  </si>
  <si>
    <t>Mzdové náklady vr. odvodov</t>
  </si>
  <si>
    <t>Ostatné</t>
  </si>
  <si>
    <t>ročnú predpokladanú výšku ostatných variabilných nákladov a výnosov (okrem tržieb z cestovného)
pri referenčnom dopravnom výkone 1 600 000 vl.km a vrátane čistého príjmu (zisku)</t>
  </si>
  <si>
    <t>Tržby</t>
  </si>
  <si>
    <t>ročnú predpokladanú výšku tržieb z cestovného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</si>
</sst>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0"/>
    <numFmt numFmtId="165" formatCode="_-* #,##0_-;\-* #,##0_-;_-* &quot;-&quot;??_-;_-@_-"/>
    <numFmt numFmtId="166" formatCode="0.000000"/>
    <numFmt numFmtId="167" formatCode="0.0000"/>
    <numFmt numFmtId="168" formatCode="0.000000000000"/>
    <numFmt numFmtId="169" formatCode="0.000%"/>
    <numFmt numFmtId="170" formatCode="#,##0.00_ ;\-#,##0.00\ "/>
    <numFmt numFmtId="171" formatCode="_-* #,##0.000\ &quot;€&quot;_-;\-* #,##0.000\ &quot;€&quot;_-;_-* &quot;-&quot;??\ &quot;€&quot;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8"/>
      <color rgb="FF2F5496"/>
      <name val="Calibri Light"/>
      <family val="2"/>
      <charset val="238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7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4" borderId="1" xfId="0" applyFill="1" applyBorder="1"/>
    <xf numFmtId="0" fontId="0" fillId="0" borderId="1" xfId="0" applyFill="1" applyBorder="1" applyAlignment="1"/>
    <xf numFmtId="0" fontId="0" fillId="4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9" fontId="0" fillId="4" borderId="1" xfId="2" applyFont="1" applyFill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9" fontId="0" fillId="4" borderId="1" xfId="2" applyFont="1" applyFill="1" applyBorder="1"/>
    <xf numFmtId="9" fontId="0" fillId="3" borderId="1" xfId="2" applyNumberFormat="1" applyFont="1" applyFill="1" applyBorder="1" applyAlignment="1">
      <alignment horizontal="center"/>
    </xf>
    <xf numFmtId="9" fontId="0" fillId="0" borderId="0" xfId="0" applyNumberFormat="1"/>
    <xf numFmtId="9" fontId="0" fillId="0" borderId="1" xfId="0" applyNumberForma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indent="2"/>
    </xf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9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9" fontId="0" fillId="0" borderId="1" xfId="2" applyFont="1" applyBorder="1" applyAlignment="1">
      <alignment horizontal="center"/>
    </xf>
    <xf numFmtId="0" fontId="0" fillId="0" borderId="0" xfId="0" applyFill="1"/>
    <xf numFmtId="9" fontId="0" fillId="0" borderId="1" xfId="2" applyFont="1" applyFill="1" applyBorder="1" applyAlignment="1">
      <alignment horizontal="center"/>
    </xf>
    <xf numFmtId="9" fontId="7" fillId="0" borderId="1" xfId="0" applyNumberFormat="1" applyFont="1" applyBorder="1"/>
    <xf numFmtId="0" fontId="0" fillId="0" borderId="0" xfId="0" applyFill="1" applyBorder="1"/>
    <xf numFmtId="0" fontId="8" fillId="0" borderId="0" xfId="0" applyFont="1"/>
    <xf numFmtId="0" fontId="9" fillId="0" borderId="0" xfId="0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NumberFormat="1"/>
    <xf numFmtId="0" fontId="3" fillId="0" borderId="0" xfId="0" applyNumberFormat="1" applyFont="1"/>
    <xf numFmtId="165" fontId="0" fillId="0" borderId="0" xfId="1" applyNumberFormat="1" applyFont="1" applyFill="1" applyBorder="1"/>
    <xf numFmtId="0" fontId="0" fillId="5" borderId="0" xfId="0" applyFill="1"/>
    <xf numFmtId="0" fontId="0" fillId="4" borderId="0" xfId="0" applyFill="1"/>
    <xf numFmtId="0" fontId="0" fillId="6" borderId="0" xfId="0" applyFill="1"/>
    <xf numFmtId="9" fontId="0" fillId="4" borderId="0" xfId="2" applyFont="1" applyFill="1"/>
    <xf numFmtId="0" fontId="0" fillId="7" borderId="0" xfId="0" applyFill="1"/>
    <xf numFmtId="9" fontId="0" fillId="0" borderId="0" xfId="0" applyNumberFormat="1" applyAlignment="1">
      <alignment horizontal="left"/>
    </xf>
    <xf numFmtId="9" fontId="3" fillId="0" borderId="0" xfId="0" applyNumberFormat="1" applyFont="1"/>
    <xf numFmtId="3" fontId="0" fillId="4" borderId="0" xfId="0" applyNumberFormat="1" applyFill="1"/>
    <xf numFmtId="165" fontId="0" fillId="4" borderId="0" xfId="1" applyNumberFormat="1" applyFont="1" applyFill="1"/>
    <xf numFmtId="0" fontId="0" fillId="9" borderId="0" xfId="0" applyFill="1"/>
    <xf numFmtId="3" fontId="0" fillId="6" borderId="0" xfId="0" applyNumberFormat="1" applyFill="1"/>
    <xf numFmtId="9" fontId="0" fillId="6" borderId="0" xfId="0" applyNumberFormat="1" applyFill="1"/>
    <xf numFmtId="166" fontId="0" fillId="0" borderId="0" xfId="0" applyNumberFormat="1"/>
    <xf numFmtId="167" fontId="0" fillId="0" borderId="0" xfId="0" applyNumberFormat="1"/>
    <xf numFmtId="3" fontId="10" fillId="10" borderId="0" xfId="0" applyNumberFormat="1" applyFont="1" applyFill="1"/>
    <xf numFmtId="0" fontId="0" fillId="11" borderId="0" xfId="0" applyFill="1"/>
    <xf numFmtId="0" fontId="0" fillId="0" borderId="0" xfId="0" applyFont="1"/>
    <xf numFmtId="43" fontId="0" fillId="0" borderId="0" xfId="1" applyFont="1"/>
    <xf numFmtId="165" fontId="0" fillId="0" borderId="0" xfId="1" applyNumberFormat="1" applyFont="1"/>
    <xf numFmtId="0" fontId="0" fillId="8" borderId="0" xfId="0" applyFill="1"/>
    <xf numFmtId="0" fontId="0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9" fontId="0" fillId="0" borderId="0" xfId="2" applyFont="1"/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Alignment="1">
      <alignment horizontal="left"/>
    </xf>
    <xf numFmtId="9" fontId="0" fillId="4" borderId="1" xfId="2" applyFont="1" applyFill="1" applyBorder="1" applyAlignment="1">
      <alignment horizontal="right"/>
    </xf>
    <xf numFmtId="9" fontId="2" fillId="0" borderId="0" xfId="0" applyNumberFormat="1" applyFont="1"/>
    <xf numFmtId="167" fontId="2" fillId="0" borderId="0" xfId="0" applyNumberFormat="1" applyFont="1"/>
    <xf numFmtId="2" fontId="2" fillId="0" borderId="0" xfId="0" applyNumberFormat="1" applyFont="1"/>
    <xf numFmtId="0" fontId="0" fillId="0" borderId="0" xfId="0" applyAlignment="1">
      <alignment wrapText="1"/>
    </xf>
    <xf numFmtId="9" fontId="0" fillId="0" borderId="0" xfId="0" applyNumberFormat="1" applyAlignment="1">
      <alignment horizontal="right"/>
    </xf>
    <xf numFmtId="164" fontId="0" fillId="8" borderId="0" xfId="0" applyNumberFormat="1" applyFill="1"/>
    <xf numFmtId="0" fontId="0" fillId="0" borderId="0" xfId="0" applyAlignment="1">
      <alignment horizontal="right" wrapText="1"/>
    </xf>
    <xf numFmtId="2" fontId="0" fillId="4" borderId="0" xfId="0" applyNumberFormat="1" applyFill="1"/>
    <xf numFmtId="0" fontId="0" fillId="3" borderId="0" xfId="0" applyFill="1"/>
    <xf numFmtId="168" fontId="0" fillId="0" borderId="0" xfId="0" applyNumberFormat="1"/>
    <xf numFmtId="169" fontId="0" fillId="0" borderId="0" xfId="0" applyNumberFormat="1"/>
    <xf numFmtId="164" fontId="0" fillId="2" borderId="0" xfId="0" applyNumberFormat="1" applyFill="1"/>
    <xf numFmtId="169" fontId="0" fillId="0" borderId="0" xfId="2" applyNumberFormat="1" applyFont="1" applyAlignment="1">
      <alignment horizontal="right" wrapText="1"/>
    </xf>
    <xf numFmtId="169" fontId="0" fillId="0" borderId="0" xfId="2" applyNumberFormat="1" applyFont="1"/>
    <xf numFmtId="169" fontId="0" fillId="0" borderId="0" xfId="0" applyNumberFormat="1" applyAlignment="1">
      <alignment wrapText="1"/>
    </xf>
    <xf numFmtId="43" fontId="3" fillId="4" borderId="1" xfId="1" applyFont="1" applyFill="1" applyBorder="1"/>
    <xf numFmtId="43" fontId="0" fillId="12" borderId="1" xfId="1" applyFont="1" applyFill="1" applyBorder="1"/>
    <xf numFmtId="43" fontId="0" fillId="3" borderId="1" xfId="1" applyFont="1" applyFill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0" xfId="0" applyFill="1" applyBorder="1" applyAlignment="1">
      <alignment horizontal="right"/>
    </xf>
    <xf numFmtId="4" fontId="2" fillId="0" borderId="0" xfId="0" applyNumberFormat="1" applyFont="1"/>
    <xf numFmtId="44" fontId="0" fillId="0" borderId="1" xfId="3" applyFont="1" applyBorder="1"/>
    <xf numFmtId="44" fontId="0" fillId="0" borderId="1" xfId="3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170" fontId="0" fillId="0" borderId="0" xfId="1" applyNumberFormat="1" applyFont="1"/>
    <xf numFmtId="170" fontId="0" fillId="0" borderId="0" xfId="0" applyNumberFormat="1"/>
    <xf numFmtId="43" fontId="3" fillId="6" borderId="1" xfId="1" applyFont="1" applyFill="1" applyBorder="1"/>
    <xf numFmtId="44" fontId="0" fillId="2" borderId="1" xfId="3" applyFont="1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13" borderId="1" xfId="0" applyFill="1" applyBorder="1"/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4" fontId="0" fillId="0" borderId="1" xfId="0" applyNumberFormat="1" applyBorder="1" applyAlignment="1">
      <alignment horizontal="right" indent="2"/>
    </xf>
    <xf numFmtId="0" fontId="3" fillId="0" borderId="1" xfId="0" applyFont="1" applyBorder="1" applyAlignment="1">
      <alignment horizontal="left"/>
    </xf>
    <xf numFmtId="44" fontId="0" fillId="3" borderId="1" xfId="3" applyFont="1" applyFill="1" applyBorder="1"/>
    <xf numFmtId="44" fontId="12" fillId="11" borderId="1" xfId="3" applyFont="1" applyFill="1" applyBorder="1"/>
    <xf numFmtId="44" fontId="0" fillId="4" borderId="1" xfId="3" applyFont="1" applyFill="1" applyBorder="1"/>
    <xf numFmtId="44" fontId="12" fillId="5" borderId="1" xfId="3" applyFont="1" applyFill="1" applyBorder="1" applyAlignment="1">
      <alignment horizontal="center"/>
    </xf>
    <xf numFmtId="0" fontId="14" fillId="0" borderId="1" xfId="2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44" fontId="12" fillId="14" borderId="1" xfId="3" applyFont="1" applyFill="1" applyBorder="1"/>
    <xf numFmtId="44" fontId="12" fillId="6" borderId="1" xfId="3" applyFont="1" applyFill="1" applyBorder="1"/>
    <xf numFmtId="0" fontId="2" fillId="0" borderId="3" xfId="2" applyNumberFormat="1" applyFont="1" applyBorder="1" applyAlignment="1">
      <alignment horizontal="right"/>
    </xf>
    <xf numFmtId="0" fontId="2" fillId="0" borderId="4" xfId="2" applyNumberFormat="1" applyFont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" xfId="2" applyNumberFormat="1" applyFont="1" applyBorder="1" applyAlignment="1">
      <alignment horizontal="left"/>
    </xf>
    <xf numFmtId="0" fontId="2" fillId="0" borderId="1" xfId="2" applyNumberFormat="1" applyFont="1" applyBorder="1" applyAlignment="1">
      <alignment horizontal="right"/>
    </xf>
    <xf numFmtId="0" fontId="12" fillId="9" borderId="1" xfId="0" applyFont="1" applyFill="1" applyBorder="1" applyAlignment="1">
      <alignment horizontal="center"/>
    </xf>
    <xf numFmtId="0" fontId="12" fillId="9" borderId="1" xfId="0" applyFont="1" applyFill="1" applyBorder="1" applyAlignment="1">
      <alignment wrapText="1"/>
    </xf>
    <xf numFmtId="0" fontId="12" fillId="15" borderId="1" xfId="0" applyFont="1" applyFill="1" applyBorder="1" applyAlignment="1">
      <alignment horizontal="center"/>
    </xf>
    <xf numFmtId="0" fontId="15" fillId="0" borderId="0" xfId="0" applyFont="1" applyAlignment="1">
      <alignment vertical="center"/>
    </xf>
    <xf numFmtId="0" fontId="3" fillId="0" borderId="6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4" fontId="12" fillId="4" borderId="1" xfId="3" applyFont="1" applyFill="1" applyBorder="1"/>
    <xf numFmtId="171" fontId="0" fillId="4" borderId="1" xfId="3" applyNumberFormat="1" applyFont="1" applyFill="1" applyBorder="1"/>
    <xf numFmtId="171" fontId="12" fillId="14" borderId="1" xfId="3" applyNumberFormat="1" applyFont="1" applyFill="1" applyBorder="1"/>
    <xf numFmtId="171" fontId="12" fillId="5" borderId="1" xfId="3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16" fillId="0" borderId="1" xfId="2" applyFont="1" applyBorder="1" applyAlignment="1">
      <alignment horizontal="center"/>
    </xf>
    <xf numFmtId="9" fontId="0" fillId="0" borderId="1" xfId="0" applyNumberFormat="1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4" fontId="3" fillId="0" borderId="1" xfId="0" applyNumberFormat="1" applyFont="1" applyBorder="1" applyAlignment="1">
      <alignment horizontal="right" indent="1"/>
    </xf>
    <xf numFmtId="4" fontId="0" fillId="0" borderId="1" xfId="0" applyNumberFormat="1" applyBorder="1" applyAlignment="1">
      <alignment horizontal="right" indent="3"/>
    </xf>
    <xf numFmtId="0" fontId="12" fillId="15" borderId="1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vertical="top"/>
    </xf>
    <xf numFmtId="0" fontId="0" fillId="4" borderId="0" xfId="0" applyFill="1" applyAlignment="1">
      <alignment vertical="top"/>
    </xf>
    <xf numFmtId="0" fontId="0" fillId="11" borderId="0" xfId="0" applyFill="1" applyAlignment="1">
      <alignment vertical="top"/>
    </xf>
    <xf numFmtId="0" fontId="0" fillId="5" borderId="0" xfId="0" applyFill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17" fillId="0" borderId="1" xfId="0" applyFont="1" applyBorder="1" applyAlignment="1">
      <alignment horizontal="center"/>
    </xf>
    <xf numFmtId="0" fontId="0" fillId="2" borderId="0" xfId="0" applyFont="1" applyFill="1" applyAlignment="1">
      <alignment vertical="top"/>
    </xf>
    <xf numFmtId="0" fontId="0" fillId="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4" borderId="0" xfId="0" applyFill="1" applyAlignment="1">
      <alignment vertical="top" wrapText="1"/>
    </xf>
    <xf numFmtId="0" fontId="0" fillId="3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3" borderId="0" xfId="0" applyFill="1" applyAlignment="1">
      <alignment vertical="top"/>
    </xf>
    <xf numFmtId="0" fontId="0" fillId="3" borderId="0" xfId="0" applyFont="1" applyFill="1" applyAlignment="1">
      <alignment vertical="top"/>
    </xf>
    <xf numFmtId="0" fontId="0" fillId="0" borderId="0" xfId="0" applyAlignment="1">
      <alignment horizontal="center" vertical="top"/>
    </xf>
    <xf numFmtId="0" fontId="0" fillId="13" borderId="0" xfId="0" applyFill="1" applyAlignment="1">
      <alignment vertical="top"/>
    </xf>
    <xf numFmtId="0" fontId="2" fillId="0" borderId="0" xfId="0" applyFont="1" applyAlignment="1">
      <alignment horizontal="center" vertical="top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2" fillId="0" borderId="0" xfId="0" applyFont="1" applyFill="1" applyBorder="1"/>
    <xf numFmtId="165" fontId="12" fillId="6" borderId="0" xfId="1" applyNumberFormat="1" applyFont="1" applyFill="1" applyBorder="1"/>
    <xf numFmtId="165" fontId="12" fillId="8" borderId="0" xfId="1" applyNumberFormat="1" applyFont="1" applyFill="1" applyBorder="1"/>
    <xf numFmtId="0" fontId="12" fillId="0" borderId="0" xfId="0" applyFont="1" applyFill="1" applyBorder="1" applyAlignment="1">
      <alignment horizontal="left"/>
    </xf>
    <xf numFmtId="0" fontId="14" fillId="0" borderId="1" xfId="2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3" fontId="3" fillId="0" borderId="1" xfId="3" applyNumberFormat="1" applyFont="1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0" fontId="0" fillId="16" borderId="1" xfId="0" applyFill="1" applyBorder="1"/>
    <xf numFmtId="44" fontId="0" fillId="16" borderId="1" xfId="3" applyFont="1" applyFill="1" applyBorder="1"/>
    <xf numFmtId="0" fontId="0" fillId="5" borderId="0" xfId="0" applyFill="1" applyAlignment="1">
      <alignment vertical="top" wrapText="1"/>
    </xf>
    <xf numFmtId="0" fontId="0" fillId="0" borderId="6" xfId="0" applyBorder="1"/>
    <xf numFmtId="0" fontId="18" fillId="0" borderId="0" xfId="0" applyFont="1"/>
    <xf numFmtId="0" fontId="3" fillId="0" borderId="0" xfId="0" applyFont="1" applyBorder="1" applyAlignment="1">
      <alignment horizontal="left" vertical="center"/>
    </xf>
    <xf numFmtId="0" fontId="18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9" fontId="1" fillId="0" borderId="1" xfId="2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9" fontId="1" fillId="0" borderId="0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44" fontId="0" fillId="0" borderId="0" xfId="3" applyFont="1" applyBorder="1" applyAlignment="1">
      <alignment horizontal="center"/>
    </xf>
    <xf numFmtId="9" fontId="3" fillId="0" borderId="1" xfId="0" applyNumberFormat="1" applyFont="1" applyBorder="1"/>
    <xf numFmtId="9" fontId="17" fillId="0" borderId="1" xfId="0" applyNumberFormat="1" applyFont="1" applyBorder="1"/>
    <xf numFmtId="0" fontId="17" fillId="0" borderId="0" xfId="0" applyFont="1"/>
    <xf numFmtId="9" fontId="2" fillId="0" borderId="1" xfId="0" applyNumberFormat="1" applyFont="1" applyBorder="1"/>
    <xf numFmtId="9" fontId="14" fillId="0" borderId="0" xfId="2" applyFont="1" applyAlignment="1">
      <alignment horizontal="center"/>
    </xf>
    <xf numFmtId="9" fontId="14" fillId="0" borderId="1" xfId="2" applyFont="1" applyBorder="1"/>
    <xf numFmtId="0" fontId="14" fillId="0" borderId="0" xfId="0" applyFont="1"/>
    <xf numFmtId="0" fontId="2" fillId="0" borderId="3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2" fillId="2" borderId="1" xfId="2" applyNumberFormat="1" applyFont="1" applyFill="1" applyBorder="1" applyAlignment="1" applyProtection="1">
      <alignment horizontal="center"/>
      <protection locked="0"/>
    </xf>
    <xf numFmtId="0" fontId="15" fillId="2" borderId="3" xfId="0" applyFont="1" applyFill="1" applyBorder="1" applyAlignment="1" applyProtection="1">
      <alignment vertical="center"/>
      <protection locked="0"/>
    </xf>
    <xf numFmtId="0" fontId="15" fillId="0" borderId="3" xfId="0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15" fillId="0" borderId="0" xfId="0" applyFont="1" applyAlignment="1" applyProtection="1">
      <alignment vertical="center"/>
    </xf>
    <xf numFmtId="0" fontId="15" fillId="0" borderId="12" xfId="0" applyFont="1" applyFill="1" applyBorder="1" applyAlignment="1" applyProtection="1">
      <alignment vertical="center"/>
      <protection locked="0"/>
    </xf>
    <xf numFmtId="0" fontId="15" fillId="0" borderId="13" xfId="0" applyFont="1" applyFill="1" applyBorder="1" applyAlignment="1" applyProtection="1">
      <alignment vertical="center"/>
      <protection locked="0"/>
    </xf>
    <xf numFmtId="0" fontId="15" fillId="0" borderId="12" xfId="0" applyFont="1" applyFill="1" applyBorder="1" applyAlignment="1" applyProtection="1">
      <alignment vertical="center"/>
    </xf>
    <xf numFmtId="0" fontId="11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14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6" xfId="0" applyFont="1" applyBorder="1" applyAlignment="1">
      <alignment wrapText="1"/>
    </xf>
    <xf numFmtId="0" fontId="3" fillId="0" borderId="6" xfId="0" applyFont="1" applyBorder="1"/>
    <xf numFmtId="0" fontId="13" fillId="0" borderId="1" xfId="0" applyFont="1" applyBorder="1" applyAlignment="1">
      <alignment horizontal="center"/>
    </xf>
    <xf numFmtId="0" fontId="0" fillId="0" borderId="10" xfId="0" applyBorder="1" applyAlignment="1">
      <alignment horizontal="centerContinuous"/>
    </xf>
    <xf numFmtId="43" fontId="20" fillId="4" borderId="1" xfId="1" applyFont="1" applyFill="1" applyBorder="1"/>
    <xf numFmtId="43" fontId="20" fillId="6" borderId="1" xfId="1" applyFont="1" applyFill="1" applyBorder="1"/>
    <xf numFmtId="43" fontId="21" fillId="9" borderId="1" xfId="1" applyFont="1" applyFill="1" applyBorder="1"/>
    <xf numFmtId="43" fontId="21" fillId="12" borderId="1" xfId="1" applyFont="1" applyFill="1" applyBorder="1" applyAlignment="1">
      <alignment horizontal="right" indent="1"/>
    </xf>
    <xf numFmtId="44" fontId="0" fillId="2" borderId="1" xfId="3" applyFont="1" applyFill="1" applyBorder="1" applyProtection="1">
      <protection locked="0"/>
    </xf>
    <xf numFmtId="44" fontId="12" fillId="11" borderId="1" xfId="3" applyFont="1" applyFill="1" applyBorder="1" applyProtection="1">
      <protection locked="0"/>
    </xf>
    <xf numFmtId="0" fontId="0" fillId="0" borderId="1" xfId="0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0" applyFont="1" applyAlignment="1" applyProtection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2" borderId="0" xfId="0" applyFill="1" applyAlignment="1">
      <alignment horizontal="left" vertical="top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0" fillId="4" borderId="0" xfId="0" applyFill="1" applyAlignment="1">
      <alignment horizontal="left" vertical="top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</cellXfs>
  <cellStyles count="4">
    <cellStyle name="Čiarka" xfId="1" builtinId="3"/>
    <cellStyle name="Mena" xfId="3" builtinId="4"/>
    <cellStyle name="Normálna" xfId="0" builtinId="0"/>
    <cellStyle name="Percentá" xfId="2" builtinId="5"/>
  </cellStyles>
  <dxfs count="6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  <color rgb="FFC6EFCE"/>
      <color rgb="FFFFFFCC"/>
      <color rgb="FF99FFCC"/>
      <color rgb="FF99FF99"/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Ocenenie!$A$33:$A$36</c:f>
              <c:numCache>
                <c:formatCode>0%</c:formatCode>
                <c:ptCount val="4"/>
                <c:pt idx="0">
                  <c:v>0.8</c:v>
                </c:pt>
                <c:pt idx="1">
                  <c:v>1</c:v>
                </c:pt>
                <c:pt idx="2">
                  <c:v>1.6</c:v>
                </c:pt>
                <c:pt idx="3">
                  <c:v>2</c:v>
                </c:pt>
              </c:numCache>
            </c:numRef>
          </c:xVal>
          <c:yVal>
            <c:numRef>
              <c:f>Ocenenie!$E$33:$E$36</c:f>
              <c:numCache>
                <c:formatCode>0.000</c:formatCode>
                <c:ptCount val="4"/>
                <c:pt idx="0">
                  <c:v>0</c:v>
                </c:pt>
                <c:pt idx="1">
                  <c:v>0.19963866666666666</c:v>
                </c:pt>
                <c:pt idx="2">
                  <c:v>1.1978320000000002</c:v>
                </c:pt>
                <c:pt idx="3">
                  <c:v>1.49729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3E-402A-85DE-FBDF016BCE9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Ocenenie!$A$33:$A$36</c:f>
              <c:numCache>
                <c:formatCode>0%</c:formatCode>
                <c:ptCount val="4"/>
                <c:pt idx="0">
                  <c:v>0.8</c:v>
                </c:pt>
                <c:pt idx="1">
                  <c:v>1</c:v>
                </c:pt>
                <c:pt idx="2">
                  <c:v>1.6</c:v>
                </c:pt>
                <c:pt idx="3">
                  <c:v>2</c:v>
                </c:pt>
              </c:numCache>
            </c:numRef>
          </c:xVal>
          <c:yVal>
            <c:numRef>
              <c:f>Ocenenie!$B$33:$B$36</c:f>
              <c:numCache>
                <c:formatCode>General</c:formatCode>
                <c:ptCount val="4"/>
                <c:pt idx="0">
                  <c:v>0</c:v>
                </c:pt>
                <c:pt idx="1">
                  <c:v>1.7000000000000001E-2</c:v>
                </c:pt>
                <c:pt idx="2">
                  <c:v>8.1000000000000003E-2</c:v>
                </c:pt>
                <c:pt idx="3">
                  <c:v>0.152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3E-402A-85DE-FBDF016BCE9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Ocenenie!$A$33:$A$36</c:f>
              <c:numCache>
                <c:formatCode>0%</c:formatCode>
                <c:ptCount val="4"/>
                <c:pt idx="0">
                  <c:v>0.8</c:v>
                </c:pt>
                <c:pt idx="1">
                  <c:v>1</c:v>
                </c:pt>
                <c:pt idx="2">
                  <c:v>1.6</c:v>
                </c:pt>
                <c:pt idx="3">
                  <c:v>2</c:v>
                </c:pt>
              </c:numCache>
            </c:numRef>
          </c:xVal>
          <c:yVal>
            <c:numRef>
              <c:f>Ocenenie!$D$33:$D$36</c:f>
              <c:numCache>
                <c:formatCode>General</c:formatCode>
                <c:ptCount val="4"/>
                <c:pt idx="0">
                  <c:v>0</c:v>
                </c:pt>
                <c:pt idx="1">
                  <c:v>0.1</c:v>
                </c:pt>
                <c:pt idx="2">
                  <c:v>0.6</c:v>
                </c:pt>
                <c:pt idx="3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B3E-402A-85DE-FBDF016BCE9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0.23160839895013124"/>
                  <c:y val="-5.81417322834645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</c:trendlineLbl>
          </c:trendline>
          <c:xVal>
            <c:numRef>
              <c:f>Ocenenie!$A$33:$A$36</c:f>
              <c:numCache>
                <c:formatCode>0%</c:formatCode>
                <c:ptCount val="4"/>
                <c:pt idx="0">
                  <c:v>0.8</c:v>
                </c:pt>
                <c:pt idx="1">
                  <c:v>1</c:v>
                </c:pt>
                <c:pt idx="2">
                  <c:v>1.6</c:v>
                </c:pt>
                <c:pt idx="3">
                  <c:v>2</c:v>
                </c:pt>
              </c:numCache>
            </c:numRef>
          </c:xVal>
          <c:yVal>
            <c:numRef>
              <c:f>Ocenenie!$C$33:$C$36</c:f>
              <c:numCache>
                <c:formatCode>0.00</c:formatCode>
                <c:ptCount val="4"/>
                <c:pt idx="0">
                  <c:v>0</c:v>
                </c:pt>
                <c:pt idx="1">
                  <c:v>0.33938573333333338</c:v>
                </c:pt>
                <c:pt idx="2">
                  <c:v>1.6170732000000001</c:v>
                </c:pt>
                <c:pt idx="3">
                  <c:v>3.0345077333333332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B3E-402A-85DE-FBDF016BC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574831"/>
        <c:axId val="1743576079"/>
      </c:scatterChart>
      <c:valAx>
        <c:axId val="1743574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3576079"/>
        <c:crosses val="autoZero"/>
        <c:crossBetween val="midCat"/>
      </c:valAx>
      <c:valAx>
        <c:axId val="1743576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743574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</c:trendlineLbl>
          </c:trendline>
          <c:xVal>
            <c:strRef>
              <c:f>Ocenenie!$A$70:$A$76</c:f>
              <c:strCache>
                <c:ptCount val="7"/>
                <c:pt idx="0">
                  <c:v>sedačkovej kapacity</c:v>
                </c:pt>
                <c:pt idx="1">
                  <c:v>69,738%</c:v>
                </c:pt>
                <c:pt idx="2">
                  <c:v>80%</c:v>
                </c:pt>
                <c:pt idx="3">
                  <c:v>(plné sedačky) 100%</c:v>
                </c:pt>
                <c:pt idx="4">
                  <c:v>160%</c:v>
                </c:pt>
                <c:pt idx="5">
                  <c:v>(max kapacita) 170%</c:v>
                </c:pt>
                <c:pt idx="6">
                  <c:v>200%</c:v>
                </c:pt>
              </c:strCache>
            </c:strRef>
          </c:xVal>
          <c:yVal>
            <c:numRef>
              <c:f>Ocenenie!$C$70:$C$76</c:f>
              <c:numCache>
                <c:formatCode>0.000%</c:formatCode>
                <c:ptCount val="7"/>
                <c:pt idx="0" formatCode="General">
                  <c:v>0</c:v>
                </c:pt>
                <c:pt idx="1">
                  <c:v>-0.10261627931789577</c:v>
                </c:pt>
                <c:pt idx="2" formatCode="0%">
                  <c:v>0</c:v>
                </c:pt>
                <c:pt idx="3" formatCode="0%">
                  <c:v>0.2</c:v>
                </c:pt>
                <c:pt idx="4" formatCode="0%">
                  <c:v>0.8</c:v>
                </c:pt>
                <c:pt idx="5" formatCode="0%">
                  <c:v>0.9</c:v>
                </c:pt>
                <c:pt idx="6" formatCode="0%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02-4649-94C1-A139018B988C}"/>
            </c:ext>
          </c:extLst>
        </c:ser>
        <c:ser>
          <c:idx val="1"/>
          <c:order val="1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Ocenenie!$A$70:$A$76</c:f>
              <c:strCache>
                <c:ptCount val="7"/>
                <c:pt idx="0">
                  <c:v>sedačkovej kapacity</c:v>
                </c:pt>
                <c:pt idx="1">
                  <c:v>69,738%</c:v>
                </c:pt>
                <c:pt idx="2">
                  <c:v>80%</c:v>
                </c:pt>
                <c:pt idx="3">
                  <c:v>(plné sedačky) 100%</c:v>
                </c:pt>
                <c:pt idx="4">
                  <c:v>160%</c:v>
                </c:pt>
                <c:pt idx="5">
                  <c:v>(max kapacita) 170%</c:v>
                </c:pt>
                <c:pt idx="6">
                  <c:v>200%</c:v>
                </c:pt>
              </c:strCache>
            </c:strRef>
          </c:xVal>
          <c:yVal>
            <c:numRef>
              <c:f>Ocenenie!$C$33:$C$36</c:f>
              <c:numCache>
                <c:formatCode>0.00</c:formatCode>
                <c:ptCount val="4"/>
                <c:pt idx="0">
                  <c:v>0</c:v>
                </c:pt>
                <c:pt idx="1">
                  <c:v>0.33938573333333338</c:v>
                </c:pt>
                <c:pt idx="2">
                  <c:v>1.6170732000000001</c:v>
                </c:pt>
                <c:pt idx="3">
                  <c:v>3.0345077333333332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A02-4649-94C1-A139018B9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5761984"/>
        <c:axId val="1885760736"/>
      </c:scatterChart>
      <c:valAx>
        <c:axId val="1885761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85760736"/>
        <c:crosses val="autoZero"/>
        <c:crossBetween val="midCat"/>
      </c:valAx>
      <c:valAx>
        <c:axId val="188576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85761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36</xdr:row>
      <xdr:rowOff>85725</xdr:rowOff>
    </xdr:from>
    <xdr:to>
      <xdr:col>4</xdr:col>
      <xdr:colOff>409575</xdr:colOff>
      <xdr:row>54</xdr:row>
      <xdr:rowOff>85725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3EFE497-8E67-43DC-B9D4-EF6CF2CA4C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36</xdr:row>
      <xdr:rowOff>66674</xdr:rowOff>
    </xdr:from>
    <xdr:to>
      <xdr:col>3</xdr:col>
      <xdr:colOff>104775</xdr:colOff>
      <xdr:row>45</xdr:row>
      <xdr:rowOff>85725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DD66603C-D477-4AC9-80D4-AFE7CC2DFC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workbookViewId="0">
      <selection activeCell="B14" sqref="B14"/>
    </sheetView>
  </sheetViews>
  <sheetFormatPr defaultRowHeight="15" x14ac:dyDescent="0.25"/>
  <cols>
    <col min="1" max="1" width="12.85546875" customWidth="1"/>
    <col min="6" max="6" width="12" bestFit="1" customWidth="1"/>
  </cols>
  <sheetData>
    <row r="1" spans="1:6" ht="15" customHeight="1" x14ac:dyDescent="0.25">
      <c r="A1" s="226" t="s">
        <v>321</v>
      </c>
      <c r="B1" s="227" t="s">
        <v>0</v>
      </c>
      <c r="C1" s="228"/>
      <c r="D1" s="228"/>
      <c r="E1" s="228"/>
      <c r="F1" s="228"/>
    </row>
    <row r="2" spans="1:6" x14ac:dyDescent="0.25">
      <c r="A2" s="226"/>
      <c r="B2" s="1" t="s">
        <v>322</v>
      </c>
      <c r="C2" s="1" t="s">
        <v>323</v>
      </c>
      <c r="D2" s="1" t="s">
        <v>324</v>
      </c>
      <c r="E2" s="1" t="s">
        <v>325</v>
      </c>
      <c r="F2" s="1" t="s">
        <v>335</v>
      </c>
    </row>
    <row r="3" spans="1:6" x14ac:dyDescent="0.25">
      <c r="A3" s="95" t="s">
        <v>326</v>
      </c>
      <c r="B3" s="30">
        <v>2</v>
      </c>
      <c r="C3" s="30">
        <v>3</v>
      </c>
      <c r="D3" s="30">
        <v>4</v>
      </c>
      <c r="E3" s="35">
        <v>5</v>
      </c>
      <c r="F3" s="35">
        <v>6</v>
      </c>
    </row>
    <row r="4" spans="1:6" x14ac:dyDescent="0.25">
      <c r="A4">
        <v>100</v>
      </c>
      <c r="C4" t="s">
        <v>223</v>
      </c>
      <c r="D4" t="s">
        <v>318</v>
      </c>
      <c r="E4" t="str">
        <f>"C"&amp;A4</f>
        <v>C100</v>
      </c>
      <c r="F4" t="s">
        <v>336</v>
      </c>
    </row>
    <row r="5" spans="1:6" x14ac:dyDescent="0.25">
      <c r="A5">
        <v>200</v>
      </c>
      <c r="C5" t="s">
        <v>286</v>
      </c>
      <c r="D5" t="s">
        <v>319</v>
      </c>
      <c r="E5" t="str">
        <f t="shared" ref="E5:E11" si="0">"C"&amp;A5</f>
        <v>C200</v>
      </c>
      <c r="F5" t="s">
        <v>336</v>
      </c>
    </row>
    <row r="6" spans="1:6" x14ac:dyDescent="0.25">
      <c r="A6">
        <v>300</v>
      </c>
      <c r="C6" t="s">
        <v>286</v>
      </c>
      <c r="D6" t="s">
        <v>319</v>
      </c>
      <c r="E6" t="str">
        <f t="shared" si="0"/>
        <v>C300</v>
      </c>
      <c r="F6" t="s">
        <v>336</v>
      </c>
    </row>
    <row r="7" spans="1:6" x14ac:dyDescent="0.25">
      <c r="A7">
        <v>400</v>
      </c>
      <c r="C7" t="s">
        <v>285</v>
      </c>
      <c r="D7" t="s">
        <v>320</v>
      </c>
      <c r="E7" t="str">
        <f t="shared" si="0"/>
        <v>C400</v>
      </c>
      <c r="F7" t="s">
        <v>336</v>
      </c>
    </row>
    <row r="8" spans="1:6" x14ac:dyDescent="0.25">
      <c r="A8">
        <v>500</v>
      </c>
      <c r="C8" t="s">
        <v>285</v>
      </c>
      <c r="D8" t="s">
        <v>320</v>
      </c>
      <c r="E8" t="str">
        <f t="shared" si="0"/>
        <v>C500</v>
      </c>
      <c r="F8" t="s">
        <v>336</v>
      </c>
    </row>
    <row r="9" spans="1:6" x14ac:dyDescent="0.25">
      <c r="A9">
        <v>600</v>
      </c>
      <c r="C9" t="s">
        <v>285</v>
      </c>
      <c r="D9" t="s">
        <v>320</v>
      </c>
      <c r="E9" t="str">
        <f t="shared" si="0"/>
        <v>C600</v>
      </c>
      <c r="F9" t="s">
        <v>336</v>
      </c>
    </row>
    <row r="10" spans="1:6" x14ac:dyDescent="0.25">
      <c r="A10">
        <v>700</v>
      </c>
      <c r="C10" t="s">
        <v>285</v>
      </c>
      <c r="D10" t="s">
        <v>320</v>
      </c>
      <c r="E10" t="str">
        <f t="shared" si="0"/>
        <v>C700</v>
      </c>
      <c r="F10" t="s">
        <v>336</v>
      </c>
    </row>
    <row r="11" spans="1:6" x14ac:dyDescent="0.25">
      <c r="A11">
        <v>800</v>
      </c>
      <c r="C11" t="s">
        <v>285</v>
      </c>
      <c r="D11" t="s">
        <v>320</v>
      </c>
      <c r="E11" t="str">
        <f t="shared" si="0"/>
        <v>C800</v>
      </c>
      <c r="F11" t="s">
        <v>336</v>
      </c>
    </row>
    <row r="13" spans="1:6" x14ac:dyDescent="0.25">
      <c r="A13" t="s">
        <v>327</v>
      </c>
      <c r="B13" s="59">
        <v>3</v>
      </c>
    </row>
  </sheetData>
  <mergeCells count="2">
    <mergeCell ref="A1:A2"/>
    <mergeCell ref="B1:F1"/>
  </mergeCells>
  <phoneticPr fontId="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6"/>
  <sheetViews>
    <sheetView view="pageLayout" zoomScale="90" zoomScaleNormal="110" zoomScaleSheetLayoutView="100" zoomScalePageLayoutView="90" workbookViewId="0">
      <selection activeCell="B4" sqref="B4"/>
    </sheetView>
  </sheetViews>
  <sheetFormatPr defaultRowHeight="15" x14ac:dyDescent="0.25"/>
  <cols>
    <col min="1" max="1" width="18.7109375" bestFit="1" customWidth="1"/>
    <col min="2" max="2" width="19.28515625" customWidth="1"/>
    <col min="3" max="8" width="18" customWidth="1"/>
    <col min="9" max="9" width="14.42578125" hidden="1" customWidth="1"/>
    <col min="10" max="10" width="11.85546875" hidden="1" customWidth="1"/>
    <col min="11" max="11" width="1.7109375" customWidth="1"/>
  </cols>
  <sheetData>
    <row r="1" spans="1:11" ht="26.25" customHeight="1" x14ac:dyDescent="0.25">
      <c r="A1" s="127" t="s">
        <v>377</v>
      </c>
      <c r="C1" s="209">
        <f>Spoločnosť!$C$10</f>
        <v>0</v>
      </c>
    </row>
    <row r="2" spans="1:11" ht="17.25" x14ac:dyDescent="0.3">
      <c r="A2" s="137" t="s">
        <v>354</v>
      </c>
      <c r="B2" s="138" t="s">
        <v>253</v>
      </c>
      <c r="C2" s="21" t="s">
        <v>359</v>
      </c>
      <c r="D2" s="21" t="s">
        <v>356</v>
      </c>
      <c r="E2" s="21" t="s">
        <v>150</v>
      </c>
      <c r="F2" s="21" t="s">
        <v>6</v>
      </c>
      <c r="G2" s="21" t="s">
        <v>139</v>
      </c>
      <c r="H2" s="21" t="s">
        <v>14</v>
      </c>
      <c r="I2" s="21" t="s">
        <v>12</v>
      </c>
      <c r="J2" s="21" t="s">
        <v>248</v>
      </c>
    </row>
    <row r="3" spans="1:11" ht="15" customHeight="1" x14ac:dyDescent="0.3">
      <c r="A3" s="90" t="s">
        <v>315</v>
      </c>
      <c r="B3" s="89" t="s">
        <v>314</v>
      </c>
      <c r="C3" s="89" t="s">
        <v>254</v>
      </c>
      <c r="D3" s="218" t="s">
        <v>435</v>
      </c>
      <c r="E3" s="89" t="s">
        <v>255</v>
      </c>
      <c r="F3" s="89" t="s">
        <v>255</v>
      </c>
      <c r="G3" s="89" t="s">
        <v>255</v>
      </c>
      <c r="H3" s="89" t="s">
        <v>255</v>
      </c>
      <c r="I3" s="89" t="s">
        <v>255</v>
      </c>
      <c r="J3" s="89" t="s">
        <v>254</v>
      </c>
    </row>
    <row r="4" spans="1:11" ht="18.75" customHeight="1" x14ac:dyDescent="0.3">
      <c r="A4" s="20" t="s">
        <v>316</v>
      </c>
      <c r="B4" s="220">
        <f>C4-E4-F4-G4-H4</f>
        <v>0</v>
      </c>
      <c r="C4" s="221">
        <f>'Cenová Ponuka II+III'!$I$13</f>
        <v>0</v>
      </c>
      <c r="D4" s="222">
        <f>Ocenenie!B2*'Vyhodnotenie II+III'!D11</f>
        <v>0</v>
      </c>
      <c r="E4" s="223">
        <f>Ocenenie!E2*'Vyhodnotenie II+III'!E11</f>
        <v>0</v>
      </c>
      <c r="F4" s="223">
        <f>Ocenenie!H2*'Vyhodnotenie II+III'!F11</f>
        <v>0</v>
      </c>
      <c r="G4" s="223">
        <f>Ocenenie!K2*'Vyhodnotenie II+III'!G11</f>
        <v>0</v>
      </c>
      <c r="H4" s="223">
        <f>Ocenenie!N2*'Vyhodnotenie II+III'!H11</f>
        <v>0</v>
      </c>
      <c r="I4" s="87">
        <f>Ocenenie!Q2*'Vyhodnotenie II+III'!I11</f>
        <v>0</v>
      </c>
      <c r="J4" s="88">
        <f>1*(('Pracovné II'!N5+'Pracovné II'!N8)*2*250+('Pracovné III'!N5+'Pracovné III'!N8)*7*250+('Víkend II'!N5+'Víkend II'!N8)*2*115+('Víkend III'!N5+'Víkend III'!N8)*7*115)</f>
        <v>0</v>
      </c>
    </row>
    <row r="5" spans="1:11" ht="10.5" hidden="1" customHeight="1" x14ac:dyDescent="0.25">
      <c r="A5" s="20" t="s">
        <v>252</v>
      </c>
      <c r="B5" s="86">
        <f>C5-D5-E5-F5-G5-H5-I5+J5</f>
        <v>0</v>
      </c>
      <c r="C5" s="98">
        <f>'Cenová Ponuka II+III'!$I$13</f>
        <v>0</v>
      </c>
      <c r="D5" s="87">
        <f>Ocenenie!E2*'Vyhodnotenie II+III'!D12</f>
        <v>0</v>
      </c>
      <c r="E5" s="87">
        <f>Ocenenie!E2*'Vyhodnotenie II+III'!E12</f>
        <v>0</v>
      </c>
      <c r="F5" s="87">
        <f>Ocenenie!H2*'Vyhodnotenie II+III'!F12</f>
        <v>0</v>
      </c>
      <c r="G5" s="87">
        <f>Ocenenie!K2*'Vyhodnotenie II+III'!G12</f>
        <v>0</v>
      </c>
      <c r="H5" s="87">
        <f>Ocenenie!N2*'Vyhodnotenie II+III'!H12</f>
        <v>0</v>
      </c>
      <c r="I5" s="87">
        <f>Ocenenie!Q2*'Vyhodnotenie II+III'!I12</f>
        <v>0</v>
      </c>
      <c r="J5" s="88">
        <f>1*(('Pracovné II'!N5+'Pracovné II'!N8)*2*250+('Pracovné III'!N5+'Pracovné III'!N8)*7*250+('Víkend II'!N5+'Víkend II'!N8)*2*115+('Víkend III'!N5+'Víkend III'!N8)*7*115)</f>
        <v>0</v>
      </c>
    </row>
    <row r="6" spans="1:11" ht="12" hidden="1" customHeight="1" x14ac:dyDescent="0.25"/>
    <row r="7" spans="1:11" ht="22.5" hidden="1" customHeight="1" x14ac:dyDescent="0.3">
      <c r="A7" s="24" t="s">
        <v>485</v>
      </c>
      <c r="B7" s="24"/>
    </row>
    <row r="8" spans="1:11" ht="15" hidden="1" customHeight="1" x14ac:dyDescent="0.25">
      <c r="A8" s="20" t="s">
        <v>133</v>
      </c>
      <c r="B8" s="259" t="s">
        <v>484</v>
      </c>
      <c r="C8" s="260"/>
      <c r="D8" s="21" t="s">
        <v>356</v>
      </c>
      <c r="E8" s="21" t="s">
        <v>342</v>
      </c>
      <c r="F8" s="21" t="s">
        <v>6</v>
      </c>
      <c r="G8" s="21" t="s">
        <v>139</v>
      </c>
      <c r="H8" s="21" t="s">
        <v>14</v>
      </c>
      <c r="I8" s="21" t="s">
        <v>12</v>
      </c>
      <c r="J8" s="21" t="s">
        <v>248</v>
      </c>
    </row>
    <row r="9" spans="1:11" ht="15" hidden="1" customHeight="1" x14ac:dyDescent="0.25">
      <c r="A9" s="20" t="s">
        <v>137</v>
      </c>
      <c r="B9" s="261"/>
      <c r="C9" s="262"/>
      <c r="D9" s="191">
        <f>D15*2/9+D26*7/9</f>
        <v>0.95</v>
      </c>
      <c r="E9" s="191">
        <f t="shared" ref="E9:J9" si="0">E15*2/9+E26*7/9</f>
        <v>0.6</v>
      </c>
      <c r="F9" s="191">
        <f t="shared" si="0"/>
        <v>0.68888888888888888</v>
      </c>
      <c r="G9" s="191">
        <f t="shared" si="0"/>
        <v>0.68888888888888888</v>
      </c>
      <c r="H9" s="191">
        <f t="shared" si="0"/>
        <v>0.23333333333333334</v>
      </c>
      <c r="I9" s="191">
        <f t="shared" si="0"/>
        <v>0</v>
      </c>
      <c r="J9" s="191">
        <f t="shared" si="0"/>
        <v>0</v>
      </c>
      <c r="K9" s="192"/>
    </row>
    <row r="10" spans="1:11" ht="15" customHeight="1" x14ac:dyDescent="0.25">
      <c r="A10" s="28" t="s">
        <v>144</v>
      </c>
      <c r="B10" s="28" t="s">
        <v>481</v>
      </c>
      <c r="C10" s="134" t="s">
        <v>224</v>
      </c>
      <c r="D10" s="27" t="str">
        <f>IF(OR(D17&lt;D15,D28&lt;D26),"nie","áno")</f>
        <v>nie</v>
      </c>
      <c r="E10" s="27" t="str">
        <f t="shared" ref="E10" si="1">IF(OR(E17&lt;E15,E28&lt;E26),"nie","áno")</f>
        <v>nie</v>
      </c>
      <c r="F10" s="27" t="str">
        <f>IF(OR(F17&lt;F15,F28&lt;F26),"nie","áno")</f>
        <v>nie</v>
      </c>
      <c r="G10" s="27" t="str">
        <f t="shared" ref="G10:H10" si="2">IF(OR(G17&lt;G15,G28&lt;G26),"nie","áno")</f>
        <v>nie</v>
      </c>
      <c r="H10" s="27" t="str">
        <f t="shared" si="2"/>
        <v>nie</v>
      </c>
      <c r="I10" s="27" t="str">
        <f t="shared" ref="I10:J10" si="3">IF(I11&lt;I9,"nie","áno")</f>
        <v>áno</v>
      </c>
      <c r="J10" s="27" t="str">
        <f t="shared" si="3"/>
        <v>áno</v>
      </c>
    </row>
    <row r="11" spans="1:11" x14ac:dyDescent="0.25">
      <c r="A11" s="20" t="s">
        <v>360</v>
      </c>
      <c r="B11" s="139">
        <f>2*B17+7*B28</f>
        <v>2971426763.4999995</v>
      </c>
      <c r="C11" s="136">
        <v>1</v>
      </c>
      <c r="D11" s="191">
        <f>2*D17*$C$17+7*D28*$C$28</f>
        <v>0</v>
      </c>
      <c r="E11" s="191">
        <f t="shared" ref="E11:J11" si="4">2*E17*$C$17+7*E28*$C$28</f>
        <v>0</v>
      </c>
      <c r="F11" s="191">
        <f t="shared" si="4"/>
        <v>0</v>
      </c>
      <c r="G11" s="191">
        <f t="shared" si="4"/>
        <v>0</v>
      </c>
      <c r="H11" s="191">
        <f t="shared" si="4"/>
        <v>0</v>
      </c>
      <c r="I11" s="190">
        <f t="shared" si="4"/>
        <v>0</v>
      </c>
      <c r="J11" s="190">
        <f t="shared" si="4"/>
        <v>0</v>
      </c>
      <c r="K11" s="13"/>
    </row>
    <row r="12" spans="1:11" ht="14.25" hidden="1" customHeight="1" x14ac:dyDescent="0.25">
      <c r="A12" s="65"/>
      <c r="B12" s="108" t="s">
        <v>252</v>
      </c>
      <c r="C12" s="64">
        <v>1.5</v>
      </c>
      <c r="D12" s="19">
        <f>POWER(D11,$C$12)</f>
        <v>0</v>
      </c>
      <c r="E12" s="19">
        <f>POWER(E11,$C$12)</f>
        <v>0</v>
      </c>
      <c r="F12" s="19">
        <f t="shared" ref="F12:I12" si="5">POWER(F11,$C$12)</f>
        <v>0</v>
      </c>
      <c r="G12" s="19">
        <f t="shared" si="5"/>
        <v>0</v>
      </c>
      <c r="H12" s="19">
        <f t="shared" si="5"/>
        <v>0</v>
      </c>
      <c r="I12" s="19">
        <f t="shared" si="5"/>
        <v>0</v>
      </c>
      <c r="J12" s="19">
        <f>J11</f>
        <v>0</v>
      </c>
    </row>
    <row r="13" spans="1:11" ht="22.5" customHeight="1" x14ac:dyDescent="0.3">
      <c r="A13" s="24" t="s">
        <v>333</v>
      </c>
      <c r="B13" s="24" t="s">
        <v>474</v>
      </c>
      <c r="C13" s="26"/>
    </row>
    <row r="14" spans="1:11" ht="15" customHeight="1" x14ac:dyDescent="0.25">
      <c r="A14" s="20" t="s">
        <v>133</v>
      </c>
      <c r="B14" s="263" t="s">
        <v>484</v>
      </c>
      <c r="C14" s="264"/>
      <c r="D14" s="21" t="s">
        <v>357</v>
      </c>
      <c r="E14" s="21" t="s">
        <v>342</v>
      </c>
      <c r="F14" s="21" t="s">
        <v>6</v>
      </c>
      <c r="G14" s="21" t="s">
        <v>139</v>
      </c>
      <c r="H14" s="21" t="s">
        <v>14</v>
      </c>
      <c r="I14" s="21" t="s">
        <v>12</v>
      </c>
      <c r="J14" s="21" t="s">
        <v>248</v>
      </c>
    </row>
    <row r="15" spans="1:11" x14ac:dyDescent="0.25">
      <c r="A15" s="20" t="s">
        <v>137</v>
      </c>
      <c r="B15" s="217"/>
      <c r="C15" s="216"/>
      <c r="D15" s="193">
        <v>0.95</v>
      </c>
      <c r="E15" s="193">
        <v>0.6</v>
      </c>
      <c r="F15" s="193">
        <v>0.3</v>
      </c>
      <c r="G15" s="193">
        <v>0.3</v>
      </c>
      <c r="H15" s="193">
        <v>0</v>
      </c>
      <c r="I15" s="193">
        <v>0</v>
      </c>
      <c r="J15" s="193">
        <v>0</v>
      </c>
      <c r="K15" s="25"/>
    </row>
    <row r="16" spans="1:11" x14ac:dyDescent="0.25">
      <c r="A16" s="28" t="s">
        <v>144</v>
      </c>
      <c r="B16" s="106" t="s">
        <v>481</v>
      </c>
      <c r="C16" s="134" t="s">
        <v>224</v>
      </c>
      <c r="D16" s="27" t="str">
        <f t="shared" ref="D16:J16" si="6">IF(D17&lt;D15,"nie","áno")</f>
        <v>nie</v>
      </c>
      <c r="E16" s="27" t="str">
        <f t="shared" si="6"/>
        <v>nie</v>
      </c>
      <c r="F16" s="27" t="str">
        <f t="shared" si="6"/>
        <v>nie</v>
      </c>
      <c r="G16" s="27" t="str">
        <f t="shared" si="6"/>
        <v>nie</v>
      </c>
      <c r="H16" s="27" t="str">
        <f t="shared" si="6"/>
        <v>áno</v>
      </c>
      <c r="I16" s="27" t="str">
        <f t="shared" si="6"/>
        <v>áno</v>
      </c>
      <c r="J16" s="27" t="str">
        <f t="shared" si="6"/>
        <v>áno</v>
      </c>
    </row>
    <row r="17" spans="1:11" x14ac:dyDescent="0.25">
      <c r="A17" s="20" t="s">
        <v>355</v>
      </c>
      <c r="B17" s="139">
        <f>B18*250+B21*115</f>
        <v>272626267.00000006</v>
      </c>
      <c r="C17" s="194">
        <f>2*B17/(2*B17+7*B28)/2</f>
        <v>9.1749280294856614E-2</v>
      </c>
      <c r="D17" s="195">
        <f t="shared" ref="D17:J17" si="7">$C18*D18+$C21*D21</f>
        <v>0</v>
      </c>
      <c r="E17" s="195">
        <f t="shared" si="7"/>
        <v>0</v>
      </c>
      <c r="F17" s="195">
        <f t="shared" si="7"/>
        <v>0</v>
      </c>
      <c r="G17" s="195">
        <f t="shared" si="7"/>
        <v>0</v>
      </c>
      <c r="H17" s="195">
        <f t="shared" si="7"/>
        <v>0</v>
      </c>
      <c r="I17" s="195">
        <f t="shared" si="7"/>
        <v>0</v>
      </c>
      <c r="J17" s="195">
        <f t="shared" si="7"/>
        <v>0</v>
      </c>
      <c r="K17" s="196"/>
    </row>
    <row r="18" spans="1:11" x14ac:dyDescent="0.25">
      <c r="A18" s="22" t="s">
        <v>352</v>
      </c>
      <c r="B18" s="107">
        <f>B19+B20</f>
        <v>909692.50000000012</v>
      </c>
      <c r="C18" s="31">
        <f>250*B18/(250*B18+115*B21)</f>
        <v>0.83419373893271986</v>
      </c>
      <c r="D18" s="19">
        <f t="shared" ref="D18:J18" si="8">$C19*D19+$C20*D20</f>
        <v>0</v>
      </c>
      <c r="E18" s="19">
        <f t="shared" si="8"/>
        <v>0</v>
      </c>
      <c r="F18" s="19">
        <f t="shared" si="8"/>
        <v>0</v>
      </c>
      <c r="G18" s="19">
        <f t="shared" si="8"/>
        <v>0</v>
      </c>
      <c r="H18" s="19">
        <f t="shared" si="8"/>
        <v>0</v>
      </c>
      <c r="I18" s="19">
        <f t="shared" si="8"/>
        <v>0</v>
      </c>
      <c r="J18" s="19">
        <f t="shared" si="8"/>
        <v>0</v>
      </c>
    </row>
    <row r="19" spans="1:11" x14ac:dyDescent="0.25">
      <c r="A19" s="23" t="s">
        <v>135</v>
      </c>
      <c r="B19" s="140">
        <f>SUMPRODUCT('Pracovné II'!C15:C63,'Pracovné II'!D15:D63)</f>
        <v>469224.40000000008</v>
      </c>
      <c r="C19" s="135">
        <f>SUMPRODUCT(Grafikon!G4:G52,Grafikon!D4:D52)/SUMPRODUCT(Grafikon!G4:G102,Grafikon!D4:D102)</f>
        <v>0.51580550570659855</v>
      </c>
      <c r="D19" s="34">
        <f>'Pracovné II'!F6</f>
        <v>0</v>
      </c>
      <c r="E19" s="34">
        <f>'Pracovné II'!H6</f>
        <v>0</v>
      </c>
      <c r="F19" s="34">
        <f>'Pracovné II'!I6</f>
        <v>0</v>
      </c>
      <c r="G19" s="34">
        <f>'Pracovné II'!J6</f>
        <v>0</v>
      </c>
      <c r="H19" s="34">
        <f>'Pracovné II'!K6</f>
        <v>0</v>
      </c>
      <c r="I19" s="34">
        <f>'Pracovné II'!L6</f>
        <v>0</v>
      </c>
      <c r="J19" s="34">
        <f>'Pracovné II'!M6</f>
        <v>0</v>
      </c>
    </row>
    <row r="20" spans="1:11" x14ac:dyDescent="0.25">
      <c r="A20" s="23" t="s">
        <v>136</v>
      </c>
      <c r="B20" s="140">
        <f>SUMPRODUCT('Pracovné II'!C65:C113,'Pracovné II'!D65:D113)</f>
        <v>440468.10000000003</v>
      </c>
      <c r="C20" s="135">
        <f>SUMPRODUCT(Grafikon!G54:G102,Grafikon!D54:D102)/SUMPRODUCT(Grafikon!G4:G102,Grafikon!D4:D102)</f>
        <v>0.48419449429340117</v>
      </c>
      <c r="D20" s="34">
        <f>'Pracovné II'!F9</f>
        <v>0</v>
      </c>
      <c r="E20" s="34">
        <f>'Pracovné II'!H9</f>
        <v>0</v>
      </c>
      <c r="F20" s="34">
        <f>'Pracovné II'!I9</f>
        <v>0</v>
      </c>
      <c r="G20" s="34">
        <f>'Pracovné II'!J9</f>
        <v>0</v>
      </c>
      <c r="H20" s="34">
        <f>'Pracovné II'!K9</f>
        <v>0</v>
      </c>
      <c r="I20" s="34">
        <f>'Pracovné II'!L9</f>
        <v>0</v>
      </c>
      <c r="J20" s="34">
        <f>'Pracovné II'!M9</f>
        <v>0</v>
      </c>
    </row>
    <row r="21" spans="1:11" x14ac:dyDescent="0.25">
      <c r="A21" s="22" t="s">
        <v>353</v>
      </c>
      <c r="B21" s="107">
        <f>B22+B23</f>
        <v>393070.80000000005</v>
      </c>
      <c r="C21" s="31">
        <f>115*B21/(250*B18+115*B21)</f>
        <v>0.16580626106728005</v>
      </c>
      <c r="D21" s="19">
        <f t="shared" ref="D21:J21" si="9">$C22*D22+$C23*D23</f>
        <v>0</v>
      </c>
      <c r="E21" s="19">
        <f t="shared" si="9"/>
        <v>0</v>
      </c>
      <c r="F21" s="19">
        <f t="shared" si="9"/>
        <v>0</v>
      </c>
      <c r="G21" s="19">
        <f t="shared" si="9"/>
        <v>0</v>
      </c>
      <c r="H21" s="19">
        <f t="shared" si="9"/>
        <v>0</v>
      </c>
      <c r="I21" s="19">
        <f t="shared" si="9"/>
        <v>0</v>
      </c>
      <c r="J21" s="19">
        <f t="shared" si="9"/>
        <v>0</v>
      </c>
    </row>
    <row r="22" spans="1:11" x14ac:dyDescent="0.25">
      <c r="A22" s="23" t="s">
        <v>135</v>
      </c>
      <c r="B22" s="140">
        <f>SUMPRODUCT('Víkend II'!C15:C41,'Víkend II'!D15:D41)</f>
        <v>169797.40000000002</v>
      </c>
      <c r="C22" s="135">
        <f>SUMPRODUCT(Grafikon!R4:R30,Grafikon!O4:O30)/SUMPRODUCT(Grafikon!R4:R58,Grafikon!O4:O58)</f>
        <v>0.43197663118196505</v>
      </c>
      <c r="D22" s="34">
        <f>'Víkend II'!F6</f>
        <v>0</v>
      </c>
      <c r="E22" s="34">
        <f>'Víkend II'!H6</f>
        <v>0</v>
      </c>
      <c r="F22" s="34">
        <f>'Víkend II'!I6</f>
        <v>0</v>
      </c>
      <c r="G22" s="34">
        <f>'Víkend II'!J6</f>
        <v>0</v>
      </c>
      <c r="H22" s="34">
        <f>'Víkend II'!K6</f>
        <v>0</v>
      </c>
      <c r="I22" s="34">
        <f>'Víkend II'!L6</f>
        <v>0</v>
      </c>
      <c r="J22" s="34">
        <f>'Víkend II'!M6</f>
        <v>0</v>
      </c>
    </row>
    <row r="23" spans="1:11" x14ac:dyDescent="0.25">
      <c r="A23" s="23" t="s">
        <v>136</v>
      </c>
      <c r="B23" s="140">
        <f>SUMPRODUCT('Víkend II'!C43:C69,'Víkend II'!D43:D69)</f>
        <v>223273.40000000005</v>
      </c>
      <c r="C23" s="135">
        <f>SUMPRODUCT(Grafikon!R32:R58,Grafikon!O32:O58)/SUMPRODUCT(Grafikon!R4:R58,Grafikon!O4:O58)</f>
        <v>0.56802336881803472</v>
      </c>
      <c r="D23" s="34">
        <f>'Víkend II'!F9</f>
        <v>0</v>
      </c>
      <c r="E23" s="34">
        <f>'Víkend II'!H9</f>
        <v>0</v>
      </c>
      <c r="F23" s="34">
        <f>'Víkend II'!I9</f>
        <v>0</v>
      </c>
      <c r="G23" s="34">
        <f>'Víkend II'!J9</f>
        <v>0</v>
      </c>
      <c r="H23" s="34">
        <f>'Víkend II'!K9</f>
        <v>0</v>
      </c>
      <c r="I23" s="34">
        <f>'Víkend II'!L9</f>
        <v>0</v>
      </c>
      <c r="J23" s="34">
        <f>'Víkend II'!M9</f>
        <v>0</v>
      </c>
    </row>
    <row r="24" spans="1:11" ht="22.5" customHeight="1" x14ac:dyDescent="0.3">
      <c r="A24" s="24" t="s">
        <v>334</v>
      </c>
      <c r="B24" s="24" t="s">
        <v>475</v>
      </c>
      <c r="C24" s="26"/>
    </row>
    <row r="25" spans="1:11" ht="15" customHeight="1" x14ac:dyDescent="0.25">
      <c r="A25" s="20" t="s">
        <v>133</v>
      </c>
      <c r="B25" s="263" t="s">
        <v>484</v>
      </c>
      <c r="C25" s="264"/>
      <c r="D25" s="21" t="s">
        <v>358</v>
      </c>
      <c r="E25" s="21" t="s">
        <v>342</v>
      </c>
      <c r="F25" s="21" t="s">
        <v>6</v>
      </c>
      <c r="G25" s="21" t="s">
        <v>139</v>
      </c>
      <c r="H25" s="21" t="s">
        <v>14</v>
      </c>
      <c r="I25" s="21" t="s">
        <v>12</v>
      </c>
      <c r="J25" s="21" t="s">
        <v>248</v>
      </c>
    </row>
    <row r="26" spans="1:11" x14ac:dyDescent="0.25">
      <c r="A26" s="20" t="s">
        <v>137</v>
      </c>
      <c r="B26" s="217"/>
      <c r="C26" s="216"/>
      <c r="D26" s="193">
        <v>0.95</v>
      </c>
      <c r="E26" s="193">
        <v>0.6</v>
      </c>
      <c r="F26" s="193">
        <v>0.8</v>
      </c>
      <c r="G26" s="193">
        <v>0.8</v>
      </c>
      <c r="H26" s="193">
        <v>0.3</v>
      </c>
      <c r="I26" s="193">
        <v>0</v>
      </c>
      <c r="J26" s="193">
        <v>0</v>
      </c>
      <c r="K26" s="25"/>
    </row>
    <row r="27" spans="1:11" x14ac:dyDescent="0.25">
      <c r="A27" s="28" t="s">
        <v>144</v>
      </c>
      <c r="B27" s="106" t="s">
        <v>476</v>
      </c>
      <c r="C27" s="134" t="s">
        <v>224</v>
      </c>
      <c r="D27" s="27" t="str">
        <f t="shared" ref="D27:J27" si="10">IF(D28&lt;D26,"nie","áno")</f>
        <v>nie</v>
      </c>
      <c r="E27" s="27" t="str">
        <f t="shared" si="10"/>
        <v>nie</v>
      </c>
      <c r="F27" s="27" t="str">
        <f t="shared" si="10"/>
        <v>nie</v>
      </c>
      <c r="G27" s="27" t="str">
        <f t="shared" si="10"/>
        <v>nie</v>
      </c>
      <c r="H27" s="27" t="str">
        <f t="shared" si="10"/>
        <v>nie</v>
      </c>
      <c r="I27" s="27" t="str">
        <f t="shared" si="10"/>
        <v>áno</v>
      </c>
      <c r="J27" s="27" t="str">
        <f t="shared" si="10"/>
        <v>áno</v>
      </c>
    </row>
    <row r="28" spans="1:11" x14ac:dyDescent="0.25">
      <c r="A28" s="20" t="s">
        <v>355</v>
      </c>
      <c r="B28" s="139">
        <f>B29*250+B32*115</f>
        <v>346596318.49999994</v>
      </c>
      <c r="C28" s="194">
        <f>7*B28/(2*B17+7*B28)/7</f>
        <v>0.11664306277289813</v>
      </c>
      <c r="D28" s="195">
        <f>$C29*D29+$C32*D32</f>
        <v>0</v>
      </c>
      <c r="E28" s="195">
        <f t="shared" ref="E28:J28" si="11">$C29*E29+$C32*E32</f>
        <v>0</v>
      </c>
      <c r="F28" s="195">
        <f t="shared" si="11"/>
        <v>0</v>
      </c>
      <c r="G28" s="195">
        <f t="shared" si="11"/>
        <v>0</v>
      </c>
      <c r="H28" s="195">
        <f t="shared" si="11"/>
        <v>0</v>
      </c>
      <c r="I28" s="195">
        <f t="shared" si="11"/>
        <v>0</v>
      </c>
      <c r="J28" s="195">
        <f t="shared" si="11"/>
        <v>0</v>
      </c>
      <c r="K28" s="196"/>
    </row>
    <row r="29" spans="1:11" x14ac:dyDescent="0.25">
      <c r="A29" s="22" t="s">
        <v>350</v>
      </c>
      <c r="B29" s="107">
        <f>B30+B31</f>
        <v>1159125.9999999998</v>
      </c>
      <c r="C29" s="31">
        <f>250*B29/(250*B29+115*B32)</f>
        <v>0.83607783618163267</v>
      </c>
      <c r="D29" s="19">
        <f t="shared" ref="D29:J29" si="12">$C30*D30+$C31*D31</f>
        <v>0</v>
      </c>
      <c r="E29" s="19">
        <f t="shared" si="12"/>
        <v>0</v>
      </c>
      <c r="F29" s="19">
        <f t="shared" si="12"/>
        <v>0</v>
      </c>
      <c r="G29" s="19">
        <f t="shared" si="12"/>
        <v>0</v>
      </c>
      <c r="H29" s="19">
        <f t="shared" si="12"/>
        <v>0</v>
      </c>
      <c r="I29" s="19">
        <f t="shared" si="12"/>
        <v>0</v>
      </c>
      <c r="J29" s="19">
        <f t="shared" si="12"/>
        <v>0</v>
      </c>
    </row>
    <row r="30" spans="1:11" x14ac:dyDescent="0.25">
      <c r="A30" s="23" t="s">
        <v>135</v>
      </c>
      <c r="B30" s="140">
        <f>SUMPRODUCT('Pracovné III'!C15:C63,'Pracovné III'!D15:D63)</f>
        <v>573537</v>
      </c>
      <c r="C30" s="135">
        <f>SUMPRODUCT(Grafikon!H4:H52,Grafikon!D4:D52)/SUMPRODUCT(Grafikon!H4:H102,Grafikon!D4:D102)</f>
        <v>0.49480125542865927</v>
      </c>
      <c r="D30" s="34">
        <f>'Pracovné III'!F6</f>
        <v>0</v>
      </c>
      <c r="E30" s="34">
        <f>'Pracovné III'!H6</f>
        <v>0</v>
      </c>
      <c r="F30" s="34">
        <f>'Pracovné III'!I6</f>
        <v>0</v>
      </c>
      <c r="G30" s="34">
        <f>'Pracovné III'!J6</f>
        <v>0</v>
      </c>
      <c r="H30" s="34">
        <f>'Pracovné III'!K6</f>
        <v>0</v>
      </c>
      <c r="I30" s="34">
        <f>'Pracovné III'!L6</f>
        <v>0</v>
      </c>
      <c r="J30" s="34">
        <f>'Pracovné III'!M6</f>
        <v>0</v>
      </c>
    </row>
    <row r="31" spans="1:11" x14ac:dyDescent="0.25">
      <c r="A31" s="23" t="s">
        <v>136</v>
      </c>
      <c r="B31" s="140">
        <f>SUMPRODUCT('Pracovné III'!C65:C113,'Pracovné III'!D65:D113)</f>
        <v>585588.99999999977</v>
      </c>
      <c r="C31" s="135">
        <f>SUMPRODUCT(Grafikon!H54:H102,Grafikon!D54:D102)/SUMPRODUCT(Grafikon!H4:H102,Grafikon!D4:D102)</f>
        <v>0.50519874457134073</v>
      </c>
      <c r="D31" s="34">
        <f>'Pracovné III'!F9</f>
        <v>0</v>
      </c>
      <c r="E31" s="34">
        <f>'Pracovné III'!H9</f>
        <v>0</v>
      </c>
      <c r="F31" s="34">
        <f>'Pracovné III'!I9</f>
        <v>0</v>
      </c>
      <c r="G31" s="34">
        <f>'Pracovné III'!J9</f>
        <v>0</v>
      </c>
      <c r="H31" s="34">
        <f>'Pracovné III'!K9</f>
        <v>0</v>
      </c>
      <c r="I31" s="34">
        <f>'Pracovné III'!L9</f>
        <v>0</v>
      </c>
      <c r="J31" s="34">
        <f>'Pracovné III'!M9</f>
        <v>0</v>
      </c>
    </row>
    <row r="32" spans="1:11" x14ac:dyDescent="0.25">
      <c r="A32" s="22" t="s">
        <v>351</v>
      </c>
      <c r="B32" s="107">
        <f>B33+B34</f>
        <v>494041.89999999997</v>
      </c>
      <c r="C32" s="31">
        <f>115*B32/(250*B29+115*B32)</f>
        <v>0.16392216381836727</v>
      </c>
      <c r="D32" s="19">
        <f t="shared" ref="D32:J32" si="13">$C33*D33+$C34*D34</f>
        <v>0</v>
      </c>
      <c r="E32" s="19">
        <f t="shared" si="13"/>
        <v>0</v>
      </c>
      <c r="F32" s="19">
        <f t="shared" si="13"/>
        <v>0</v>
      </c>
      <c r="G32" s="19">
        <f t="shared" si="13"/>
        <v>0</v>
      </c>
      <c r="H32" s="19">
        <f t="shared" si="13"/>
        <v>0</v>
      </c>
      <c r="I32" s="19">
        <f t="shared" si="13"/>
        <v>0</v>
      </c>
      <c r="J32" s="19">
        <f t="shared" si="13"/>
        <v>0</v>
      </c>
    </row>
    <row r="33" spans="1:10" x14ac:dyDescent="0.25">
      <c r="A33" s="23" t="s">
        <v>135</v>
      </c>
      <c r="B33" s="140">
        <f>SUMPRODUCT('Víkend III'!C15:C41,'Víkend III'!D15:D41)</f>
        <v>227310</v>
      </c>
      <c r="C33" s="135">
        <f>SUMPRODUCT(Grafikon!S4:S30,Grafikon!O4:O30)/SUMPRODUCT(Grafikon!S4:S58,Grafikon!O4:O58)</f>
        <v>0.46517410541166221</v>
      </c>
      <c r="D33" s="34">
        <f>'Víkend III'!F6</f>
        <v>0</v>
      </c>
      <c r="E33" s="34">
        <f>'Víkend III'!H6</f>
        <v>0</v>
      </c>
      <c r="F33" s="34">
        <f>'Víkend III'!I6</f>
        <v>0</v>
      </c>
      <c r="G33" s="34">
        <f>'Víkend III'!J6</f>
        <v>0</v>
      </c>
      <c r="H33" s="34">
        <f>'Víkend III'!K6</f>
        <v>0</v>
      </c>
      <c r="I33" s="34">
        <f>'Víkend III'!L6</f>
        <v>0</v>
      </c>
      <c r="J33" s="34">
        <f>'Víkend III'!M6</f>
        <v>0</v>
      </c>
    </row>
    <row r="34" spans="1:10" x14ac:dyDescent="0.25">
      <c r="A34" s="23" t="s">
        <v>136</v>
      </c>
      <c r="B34" s="140">
        <f>SUMPRODUCT('Víkend III'!C43:C69,'Víkend III'!D43:D69)</f>
        <v>266731.89999999997</v>
      </c>
      <c r="C34" s="135">
        <f>SUMPRODUCT(Grafikon!S32:S58,Grafikon!O32:O58)/SUMPRODUCT(Grafikon!S4:S58,Grafikon!O4:O58)</f>
        <v>0.53482589458833718</v>
      </c>
      <c r="D34" s="34">
        <f>'Víkend III'!F9</f>
        <v>0</v>
      </c>
      <c r="E34" s="34">
        <f>'Víkend III'!H9</f>
        <v>0</v>
      </c>
      <c r="F34" s="34">
        <f>'Víkend III'!I9</f>
        <v>0</v>
      </c>
      <c r="G34" s="34">
        <f>'Víkend III'!J9</f>
        <v>0</v>
      </c>
      <c r="H34" s="34">
        <f>'Víkend III'!K9</f>
        <v>0</v>
      </c>
      <c r="I34" s="34">
        <f>'Víkend III'!L9</f>
        <v>0</v>
      </c>
      <c r="J34" s="34">
        <f>'Víkend III'!M9</f>
        <v>0</v>
      </c>
    </row>
    <row r="35" spans="1:10" ht="45" customHeight="1" x14ac:dyDescent="0.25"/>
    <row r="36" spans="1:10" x14ac:dyDescent="0.25">
      <c r="A36" s="219" t="s">
        <v>483</v>
      </c>
      <c r="B36" s="219"/>
      <c r="C36" s="219"/>
      <c r="G36" s="219" t="s">
        <v>486</v>
      </c>
      <c r="H36" s="219"/>
    </row>
  </sheetData>
  <sheetProtection algorithmName="SHA-512" hashValue="kvTbTWpvUTzXG/aS0cSakbNj26TZovtrYyL6/yp4tNGNe+01BF+S3JTt7W3aaEH6dV7fre37FFQHB4d8rX/Rog==" saltValue="ynqsrYErt2zN0RzTSHVzxQ==" spinCount="100000" sheet="1" objects="1" scenarios="1"/>
  <mergeCells count="3">
    <mergeCell ref="B8:C9"/>
    <mergeCell ref="B14:C14"/>
    <mergeCell ref="B25:C25"/>
  </mergeCells>
  <conditionalFormatting sqref="D16:J16 D27:J27 D10:J10">
    <cfRule type="containsText" dxfId="3" priority="19" operator="containsText" text="áno">
      <formula>NOT(ISERROR(SEARCH("áno",D10)))</formula>
    </cfRule>
    <cfRule type="containsText" dxfId="2" priority="20" operator="containsText" text="nie">
      <formula>NOT(ISERROR(SEARCH("nie",D10)))</formula>
    </cfRule>
  </conditionalFormatting>
  <conditionalFormatting sqref="I10">
    <cfRule type="containsText" dxfId="1" priority="1" operator="containsText" text="áno">
      <formula>NOT(ISERROR(SEARCH("áno",I10)))</formula>
    </cfRule>
    <cfRule type="containsText" dxfId="0" priority="2" operator="containsText" text="nie">
      <formula>NOT(ISERROR(SEARCH("nie",I10)))</formula>
    </cfRule>
  </conditionalFormatting>
  <pageMargins left="0.25" right="0.25" top="0.75" bottom="0.75" header="0.3" footer="0.3"/>
  <pageSetup paperSize="9" scale="97" fitToWidth="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101"/>
  <sheetViews>
    <sheetView zoomScaleNormal="100" workbookViewId="0">
      <selection activeCell="N4" sqref="N4"/>
    </sheetView>
  </sheetViews>
  <sheetFormatPr defaultRowHeight="15" x14ac:dyDescent="0.25"/>
  <cols>
    <col min="1" max="1" width="19.140625" bestFit="1" customWidth="1"/>
    <col min="2" max="2" width="12.85546875" bestFit="1" customWidth="1"/>
    <col min="3" max="3" width="14" bestFit="1" customWidth="1"/>
    <col min="4" max="4" width="20" bestFit="1" customWidth="1"/>
    <col min="5" max="5" width="13.7109375" customWidth="1"/>
    <col min="6" max="6" width="14" bestFit="1" customWidth="1"/>
    <col min="7" max="7" width="20.28515625" bestFit="1" customWidth="1"/>
    <col min="8" max="8" width="12.85546875" bestFit="1" customWidth="1"/>
    <col min="9" max="9" width="14" bestFit="1" customWidth="1"/>
    <col min="10" max="10" width="20.28515625" bestFit="1" customWidth="1"/>
    <col min="11" max="11" width="12.85546875" bestFit="1" customWidth="1"/>
    <col min="12" max="12" width="14" bestFit="1" customWidth="1"/>
    <col min="13" max="13" width="20" bestFit="1" customWidth="1"/>
    <col min="14" max="14" width="13.7109375" bestFit="1" customWidth="1"/>
    <col min="15" max="15" width="14" bestFit="1" customWidth="1"/>
    <col min="16" max="16" width="20" bestFit="1" customWidth="1"/>
    <col min="17" max="17" width="14.85546875" bestFit="1" customWidth="1"/>
    <col min="18" max="18" width="14" bestFit="1" customWidth="1"/>
  </cols>
  <sheetData>
    <row r="1" spans="1:18" s="167" customFormat="1" ht="15.75" x14ac:dyDescent="0.25">
      <c r="A1" s="167" t="s">
        <v>248</v>
      </c>
      <c r="B1" s="168">
        <f>100*B3</f>
        <v>0</v>
      </c>
      <c r="C1" s="167" t="s">
        <v>310</v>
      </c>
      <c r="D1" s="167" t="s">
        <v>143</v>
      </c>
      <c r="E1" s="169">
        <f>100*E3</f>
        <v>1000000</v>
      </c>
      <c r="F1" s="167" t="s">
        <v>310</v>
      </c>
      <c r="G1" s="170" t="s">
        <v>6</v>
      </c>
      <c r="H1" s="169">
        <f>100*H3</f>
        <v>100000</v>
      </c>
      <c r="I1" s="167" t="s">
        <v>310</v>
      </c>
      <c r="J1" s="170" t="s">
        <v>139</v>
      </c>
      <c r="K1" s="169">
        <f>100*K3</f>
        <v>100000</v>
      </c>
      <c r="L1" s="167" t="s">
        <v>310</v>
      </c>
      <c r="M1" s="170" t="s">
        <v>14</v>
      </c>
      <c r="N1" s="169">
        <f>100*N3</f>
        <v>1000000</v>
      </c>
      <c r="O1" s="167" t="s">
        <v>310</v>
      </c>
      <c r="P1" s="170" t="s">
        <v>12</v>
      </c>
      <c r="Q1" s="169">
        <f>100*Q3</f>
        <v>0</v>
      </c>
      <c r="R1" s="167" t="s">
        <v>310</v>
      </c>
    </row>
    <row r="2" spans="1:18" s="167" customFormat="1" ht="15.75" x14ac:dyDescent="0.25">
      <c r="A2" s="167" t="s">
        <v>248</v>
      </c>
      <c r="B2" s="168">
        <f>9*B1</f>
        <v>0</v>
      </c>
      <c r="C2" s="167" t="s">
        <v>225</v>
      </c>
      <c r="D2" s="167" t="s">
        <v>143</v>
      </c>
      <c r="E2" s="169">
        <f>9*E1</f>
        <v>9000000</v>
      </c>
      <c r="F2" s="167" t="s">
        <v>225</v>
      </c>
      <c r="G2" s="170" t="s">
        <v>6</v>
      </c>
      <c r="H2" s="169">
        <f>9*H1</f>
        <v>900000</v>
      </c>
      <c r="I2" s="167" t="s">
        <v>225</v>
      </c>
      <c r="J2" s="170" t="s">
        <v>139</v>
      </c>
      <c r="K2" s="169">
        <f>9*K1</f>
        <v>900000</v>
      </c>
      <c r="L2" s="167" t="s">
        <v>225</v>
      </c>
      <c r="M2" s="170" t="s">
        <v>14</v>
      </c>
      <c r="N2" s="169">
        <f>9*N1</f>
        <v>9000000</v>
      </c>
      <c r="O2" s="167" t="s">
        <v>225</v>
      </c>
      <c r="P2" s="170" t="s">
        <v>12</v>
      </c>
      <c r="Q2" s="169">
        <f>9*Q1</f>
        <v>0</v>
      </c>
      <c r="R2" s="167" t="s">
        <v>225</v>
      </c>
    </row>
    <row r="3" spans="1:18" s="167" customFormat="1" ht="15.75" x14ac:dyDescent="0.25">
      <c r="A3" s="167" t="s">
        <v>248</v>
      </c>
      <c r="B3" s="168">
        <v>0</v>
      </c>
      <c r="C3" s="167" t="s">
        <v>471</v>
      </c>
      <c r="D3" s="167" t="s">
        <v>143</v>
      </c>
      <c r="E3" s="169">
        <v>10000</v>
      </c>
      <c r="F3" s="167" t="s">
        <v>471</v>
      </c>
      <c r="G3" s="170" t="s">
        <v>6</v>
      </c>
      <c r="H3" s="169">
        <v>1000</v>
      </c>
      <c r="I3" s="167" t="s">
        <v>471</v>
      </c>
      <c r="J3" s="170" t="s">
        <v>139</v>
      </c>
      <c r="K3" s="169">
        <v>1000</v>
      </c>
      <c r="L3" s="167" t="s">
        <v>471</v>
      </c>
      <c r="M3" s="170" t="s">
        <v>14</v>
      </c>
      <c r="N3" s="169">
        <v>10000</v>
      </c>
      <c r="O3" s="167" t="s">
        <v>471</v>
      </c>
      <c r="P3" s="170" t="s">
        <v>12</v>
      </c>
      <c r="Q3" s="169">
        <v>0</v>
      </c>
      <c r="R3" s="167" t="s">
        <v>471</v>
      </c>
    </row>
    <row r="4" spans="1:18" x14ac:dyDescent="0.25">
      <c r="A4" t="s">
        <v>248</v>
      </c>
      <c r="B4">
        <v>0</v>
      </c>
      <c r="C4" t="s">
        <v>337</v>
      </c>
      <c r="D4" t="s">
        <v>470</v>
      </c>
      <c r="E4">
        <v>50000</v>
      </c>
      <c r="F4" t="s">
        <v>337</v>
      </c>
      <c r="G4" t="s">
        <v>6</v>
      </c>
      <c r="H4">
        <v>6700</v>
      </c>
      <c r="I4" t="s">
        <v>337</v>
      </c>
      <c r="J4" t="s">
        <v>139</v>
      </c>
      <c r="K4">
        <v>1600</v>
      </c>
      <c r="L4" t="s">
        <v>337</v>
      </c>
      <c r="M4" t="s">
        <v>14</v>
      </c>
      <c r="N4">
        <v>54150</v>
      </c>
      <c r="O4" t="s">
        <v>337</v>
      </c>
      <c r="P4" t="s">
        <v>12</v>
      </c>
      <c r="Q4">
        <v>0</v>
      </c>
      <c r="R4" t="s">
        <v>337</v>
      </c>
    </row>
    <row r="5" spans="1:18" x14ac:dyDescent="0.25">
      <c r="A5" s="50" t="s">
        <v>192</v>
      </c>
      <c r="B5" s="43">
        <f>B18</f>
        <v>4182583.6672971295</v>
      </c>
      <c r="C5" t="s">
        <v>225</v>
      </c>
      <c r="D5" s="50" t="s">
        <v>192</v>
      </c>
      <c r="E5" s="43">
        <f>E14*365*9</f>
        <v>2295345.5700000003</v>
      </c>
      <c r="F5" t="s">
        <v>225</v>
      </c>
      <c r="G5" s="50" t="s">
        <v>192</v>
      </c>
      <c r="H5" s="43">
        <f>H14*SUM(H36:H38)*9</f>
        <v>1347561.0000000002</v>
      </c>
      <c r="I5" t="s">
        <v>225</v>
      </c>
      <c r="J5" s="50" t="s">
        <v>192</v>
      </c>
      <c r="K5" s="43">
        <f>K14*365*9</f>
        <v>327906.50999999995</v>
      </c>
      <c r="L5" t="s">
        <v>225</v>
      </c>
      <c r="M5" s="50" t="s">
        <v>192</v>
      </c>
      <c r="N5" s="43">
        <f>N14*365*9</f>
        <v>7213943.2200000007</v>
      </c>
      <c r="O5" t="s">
        <v>225</v>
      </c>
      <c r="P5" s="50" t="s">
        <v>192</v>
      </c>
      <c r="Q5" s="43">
        <f>(Q14)*365*9</f>
        <v>72139.432199999996</v>
      </c>
      <c r="R5" t="s">
        <v>225</v>
      </c>
    </row>
    <row r="6" spans="1:18" x14ac:dyDescent="0.25">
      <c r="A6" s="13" t="s">
        <v>218</v>
      </c>
      <c r="B6" s="43">
        <v>0</v>
      </c>
      <c r="C6" t="s">
        <v>225</v>
      </c>
      <c r="D6" s="13" t="s">
        <v>218</v>
      </c>
      <c r="E6" s="43">
        <f>E19*E20</f>
        <v>16875</v>
      </c>
      <c r="F6" t="s">
        <v>225</v>
      </c>
      <c r="G6" s="13" t="s">
        <v>218</v>
      </c>
      <c r="H6" s="43">
        <f>H18*H19*H20</f>
        <v>828000</v>
      </c>
      <c r="I6" t="s">
        <v>225</v>
      </c>
      <c r="J6" s="13" t="s">
        <v>218</v>
      </c>
      <c r="K6" s="43">
        <f>+K18*K19</f>
        <v>690000</v>
      </c>
      <c r="L6" t="s">
        <v>225</v>
      </c>
      <c r="M6" s="13" t="s">
        <v>218</v>
      </c>
      <c r="N6" s="43">
        <f>N18*N19*N20</f>
        <v>0</v>
      </c>
      <c r="O6" t="s">
        <v>225</v>
      </c>
      <c r="P6" s="13" t="s">
        <v>330</v>
      </c>
      <c r="Q6" s="43">
        <f>Q20</f>
        <v>252578.05720512755</v>
      </c>
      <c r="R6" t="s">
        <v>225</v>
      </c>
    </row>
    <row r="7" spans="1:18" x14ac:dyDescent="0.25">
      <c r="A7" s="13" t="s">
        <v>219</v>
      </c>
      <c r="B7" s="43">
        <v>0</v>
      </c>
      <c r="C7" t="s">
        <v>225</v>
      </c>
      <c r="D7" s="13" t="s">
        <v>219</v>
      </c>
      <c r="E7" s="43">
        <v>0</v>
      </c>
      <c r="F7" t="s">
        <v>225</v>
      </c>
      <c r="G7" s="13" t="s">
        <v>219</v>
      </c>
      <c r="H7" s="43">
        <f>H40*9</f>
        <v>837334.5882352941</v>
      </c>
      <c r="I7" t="s">
        <v>225</v>
      </c>
      <c r="J7" s="13" t="s">
        <v>219</v>
      </c>
      <c r="K7" s="43">
        <f>K40*9</f>
        <v>668250</v>
      </c>
      <c r="L7" t="s">
        <v>225</v>
      </c>
      <c r="M7" s="13" t="s">
        <v>219</v>
      </c>
      <c r="N7" s="43">
        <f>N19*N20*N21</f>
        <v>0</v>
      </c>
      <c r="O7" t="s">
        <v>225</v>
      </c>
      <c r="P7" s="13" t="s">
        <v>219</v>
      </c>
      <c r="Q7" s="43">
        <f>Q19*Q20*Q21</f>
        <v>0</v>
      </c>
      <c r="R7" t="s">
        <v>225</v>
      </c>
    </row>
    <row r="8" spans="1:18" x14ac:dyDescent="0.25">
      <c r="H8" s="43"/>
    </row>
    <row r="9" spans="1:18" x14ac:dyDescent="0.25">
      <c r="A9" s="13" t="s">
        <v>192</v>
      </c>
      <c r="B9" t="s">
        <v>313</v>
      </c>
      <c r="D9" s="13" t="s">
        <v>192</v>
      </c>
      <c r="G9" s="13" t="s">
        <v>192</v>
      </c>
      <c r="J9" s="13" t="s">
        <v>192</v>
      </c>
      <c r="M9" s="13" t="s">
        <v>192</v>
      </c>
      <c r="P9" s="13" t="s">
        <v>192</v>
      </c>
    </row>
    <row r="10" spans="1:18" x14ac:dyDescent="0.25">
      <c r="A10" t="s">
        <v>197</v>
      </c>
      <c r="B10">
        <f>4.3%*15.7+25.6%*7.45+70.1%*4.86</f>
        <v>5.98916</v>
      </c>
      <c r="C10" t="s">
        <v>203</v>
      </c>
      <c r="D10" t="s">
        <v>197</v>
      </c>
      <c r="E10">
        <f>4.3%*15.7+25.6%*7.45+70.1%*4.86</f>
        <v>5.98916</v>
      </c>
      <c r="F10" t="s">
        <v>203</v>
      </c>
      <c r="G10" t="s">
        <v>197</v>
      </c>
      <c r="H10">
        <f>4.3%*15.7+25.6%*7.45+70.1%*4.86</f>
        <v>5.98916</v>
      </c>
      <c r="I10" t="s">
        <v>203</v>
      </c>
      <c r="J10" t="s">
        <v>197</v>
      </c>
      <c r="K10">
        <f>4.3%*15.7+25.6%*7.45+70.1%*4.86</f>
        <v>5.98916</v>
      </c>
      <c r="L10" t="s">
        <v>203</v>
      </c>
      <c r="M10" t="s">
        <v>197</v>
      </c>
      <c r="N10">
        <f>4.3%*15.7+25.6%*7.45+70.1%*4.86</f>
        <v>5.98916</v>
      </c>
      <c r="O10" t="s">
        <v>203</v>
      </c>
      <c r="P10" t="s">
        <v>197</v>
      </c>
      <c r="Q10">
        <f>4.3%*15.7+25.6%*7.45+70.1%*4.86</f>
        <v>5.98916</v>
      </c>
      <c r="R10" t="s">
        <v>203</v>
      </c>
    </row>
    <row r="11" spans="1:18" x14ac:dyDescent="0.25">
      <c r="A11" t="s">
        <v>213</v>
      </c>
      <c r="B11">
        <v>0.17</v>
      </c>
      <c r="C11" t="s">
        <v>198</v>
      </c>
      <c r="D11" t="s">
        <v>199</v>
      </c>
      <c r="E11">
        <v>7.0000000000000007E-2</v>
      </c>
      <c r="F11" t="s">
        <v>201</v>
      </c>
      <c r="G11" t="s">
        <v>199</v>
      </c>
      <c r="H11">
        <v>0.15</v>
      </c>
      <c r="I11" t="s">
        <v>201</v>
      </c>
      <c r="J11" t="s">
        <v>199</v>
      </c>
      <c r="K11" s="45">
        <v>0.01</v>
      </c>
      <c r="L11" t="s">
        <v>201</v>
      </c>
      <c r="M11" t="s">
        <v>199</v>
      </c>
      <c r="N11">
        <v>0.22</v>
      </c>
      <c r="O11" t="s">
        <v>201</v>
      </c>
      <c r="P11" t="s">
        <v>199</v>
      </c>
      <c r="Q11">
        <v>0.22</v>
      </c>
      <c r="R11" t="s">
        <v>201</v>
      </c>
    </row>
    <row r="12" spans="1:18" x14ac:dyDescent="0.25">
      <c r="A12" t="s">
        <v>215</v>
      </c>
      <c r="B12">
        <v>0.34</v>
      </c>
      <c r="C12" t="s">
        <v>198</v>
      </c>
      <c r="D12" t="s">
        <v>199</v>
      </c>
      <c r="E12" s="40">
        <f>E10*E11/60</f>
        <v>6.987353333333334E-3</v>
      </c>
      <c r="F12" t="s">
        <v>202</v>
      </c>
      <c r="G12" t="s">
        <v>199</v>
      </c>
      <c r="H12" s="57">
        <f>H10*H11/60</f>
        <v>1.4972900000000001E-2</v>
      </c>
      <c r="I12" t="s">
        <v>202</v>
      </c>
      <c r="J12" t="s">
        <v>199</v>
      </c>
      <c r="K12" s="40">
        <f>K10*K11/60</f>
        <v>9.9819333333333346E-4</v>
      </c>
      <c r="L12" t="s">
        <v>202</v>
      </c>
      <c r="M12" t="s">
        <v>199</v>
      </c>
      <c r="N12" s="40">
        <f>N10*N11/60</f>
        <v>2.1960253333333336E-2</v>
      </c>
      <c r="O12" t="s">
        <v>202</v>
      </c>
      <c r="P12" t="s">
        <v>199</v>
      </c>
      <c r="Q12" s="40">
        <f>Q10*Q11/60</f>
        <v>2.1960253333333336E-2</v>
      </c>
      <c r="R12" t="s">
        <v>202</v>
      </c>
    </row>
    <row r="13" spans="1:18" x14ac:dyDescent="0.25">
      <c r="A13" t="s">
        <v>214</v>
      </c>
      <c r="B13">
        <v>0.81</v>
      </c>
      <c r="C13" t="s">
        <v>198</v>
      </c>
      <c r="D13" t="s">
        <v>163</v>
      </c>
      <c r="E13" s="54">
        <v>10000</v>
      </c>
      <c r="F13" t="s">
        <v>204</v>
      </c>
      <c r="G13" t="s">
        <v>163</v>
      </c>
      <c r="H13" s="54">
        <v>10000</v>
      </c>
      <c r="I13" t="s">
        <v>204</v>
      </c>
      <c r="J13" t="s">
        <v>163</v>
      </c>
      <c r="K13" s="54">
        <v>10000</v>
      </c>
      <c r="L13" t="s">
        <v>204</v>
      </c>
      <c r="M13" t="s">
        <v>163</v>
      </c>
      <c r="N13" s="54">
        <v>10000</v>
      </c>
      <c r="O13" t="s">
        <v>204</v>
      </c>
      <c r="P13" t="s">
        <v>163</v>
      </c>
      <c r="Q13" s="54">
        <f>10000*1%</f>
        <v>100</v>
      </c>
      <c r="R13" t="s">
        <v>204</v>
      </c>
    </row>
    <row r="14" spans="1:18" x14ac:dyDescent="0.25">
      <c r="A14" t="s">
        <v>249</v>
      </c>
      <c r="B14">
        <v>1.04</v>
      </c>
      <c r="C14" t="s">
        <v>198</v>
      </c>
      <c r="D14" s="13" t="s">
        <v>206</v>
      </c>
      <c r="E14" s="39">
        <f>E13*E12*10</f>
        <v>698.73533333333341</v>
      </c>
      <c r="F14" t="s">
        <v>205</v>
      </c>
      <c r="G14" s="13" t="s">
        <v>206</v>
      </c>
      <c r="H14" s="39">
        <f>H13*H12*10</f>
        <v>1497.2900000000002</v>
      </c>
      <c r="I14" t="s">
        <v>205</v>
      </c>
      <c r="J14" s="13" t="s">
        <v>206</v>
      </c>
      <c r="K14" s="39">
        <f>K13*K12*10</f>
        <v>99.819333333333333</v>
      </c>
      <c r="L14" t="s">
        <v>205</v>
      </c>
      <c r="M14" s="13" t="s">
        <v>206</v>
      </c>
      <c r="N14" s="39">
        <f>N13*N12*10</f>
        <v>2196.0253333333335</v>
      </c>
      <c r="O14" t="s">
        <v>205</v>
      </c>
      <c r="P14" s="13" t="s">
        <v>206</v>
      </c>
      <c r="Q14" s="39">
        <f>Q13*Q12*10</f>
        <v>21.960253333333334</v>
      </c>
      <c r="R14" t="s">
        <v>205</v>
      </c>
    </row>
    <row r="15" spans="1:18" x14ac:dyDescent="0.25">
      <c r="A15" t="s">
        <v>250</v>
      </c>
      <c r="B15">
        <v>1.52</v>
      </c>
      <c r="C15" t="s">
        <v>198</v>
      </c>
    </row>
    <row r="16" spans="1:18" x14ac:dyDescent="0.25">
      <c r="P16" s="13" t="s">
        <v>331</v>
      </c>
    </row>
    <row r="17" spans="1:17" x14ac:dyDescent="0.25">
      <c r="A17" t="s">
        <v>163</v>
      </c>
      <c r="B17" s="58" t="s">
        <v>231</v>
      </c>
      <c r="C17" t="s">
        <v>204</v>
      </c>
      <c r="D17" s="13" t="s">
        <v>172</v>
      </c>
      <c r="G17" s="13" t="s">
        <v>172</v>
      </c>
      <c r="J17" s="13" t="s">
        <v>172</v>
      </c>
      <c r="K17" s="53" t="s">
        <v>221</v>
      </c>
      <c r="M17" s="13" t="s">
        <v>172</v>
      </c>
      <c r="P17" t="s">
        <v>308</v>
      </c>
    </row>
    <row r="18" spans="1:17" x14ac:dyDescent="0.25">
      <c r="A18" s="13" t="s">
        <v>332</v>
      </c>
      <c r="B18" s="61">
        <v>4182583.6672971295</v>
      </c>
      <c r="C18" t="s">
        <v>205</v>
      </c>
      <c r="D18" s="18" t="s">
        <v>229</v>
      </c>
      <c r="E18" s="18"/>
      <c r="G18" t="s">
        <v>173</v>
      </c>
      <c r="H18" s="51">
        <v>40000</v>
      </c>
      <c r="I18" t="s">
        <v>174</v>
      </c>
      <c r="J18" t="s">
        <v>173</v>
      </c>
      <c r="K18" s="52">
        <v>30000</v>
      </c>
      <c r="L18" t="s">
        <v>174</v>
      </c>
      <c r="M18" t="s">
        <v>242</v>
      </c>
      <c r="N18">
        <f>(N22-N21)</f>
        <v>0</v>
      </c>
      <c r="O18" t="s">
        <v>174</v>
      </c>
      <c r="P18" t="s">
        <v>329</v>
      </c>
      <c r="Q18" s="96">
        <v>12727672.138595402</v>
      </c>
    </row>
    <row r="19" spans="1:17" x14ac:dyDescent="0.25">
      <c r="D19" s="18">
        <v>0.01</v>
      </c>
      <c r="E19" s="51">
        <v>75000</v>
      </c>
      <c r="F19" t="s">
        <v>200</v>
      </c>
      <c r="G19" t="s">
        <v>7</v>
      </c>
      <c r="H19" s="44">
        <v>23</v>
      </c>
      <c r="I19" t="s">
        <v>232</v>
      </c>
      <c r="J19" t="s">
        <v>7</v>
      </c>
      <c r="K19" s="44">
        <v>23</v>
      </c>
      <c r="M19" t="s">
        <v>7</v>
      </c>
      <c r="N19" s="44">
        <v>23</v>
      </c>
      <c r="P19" t="s">
        <v>328</v>
      </c>
      <c r="Q19" s="96">
        <v>12980250.19580053</v>
      </c>
    </row>
    <row r="20" spans="1:17" x14ac:dyDescent="0.25">
      <c r="A20" t="s">
        <v>227</v>
      </c>
      <c r="B20" s="46">
        <v>20</v>
      </c>
      <c r="C20" t="s">
        <v>198</v>
      </c>
      <c r="D20" t="s">
        <v>226</v>
      </c>
      <c r="E20" s="55">
        <f>9/40</f>
        <v>0.22500000000000001</v>
      </c>
      <c r="F20" t="s">
        <v>311</v>
      </c>
      <c r="G20" t="s">
        <v>226</v>
      </c>
      <c r="H20" s="55">
        <v>0.9</v>
      </c>
      <c r="I20" t="s">
        <v>312</v>
      </c>
      <c r="J20" t="s">
        <v>226</v>
      </c>
      <c r="K20" s="55">
        <v>0.9</v>
      </c>
      <c r="L20" t="s">
        <v>312</v>
      </c>
      <c r="M20" t="s">
        <v>226</v>
      </c>
      <c r="N20" s="55">
        <f>9/40</f>
        <v>0.22500000000000001</v>
      </c>
      <c r="O20" t="s">
        <v>311</v>
      </c>
      <c r="P20" t="s">
        <v>309</v>
      </c>
      <c r="Q20" s="97">
        <f>Q19-Q18</f>
        <v>252578.05720512755</v>
      </c>
    </row>
    <row r="21" spans="1:17" x14ac:dyDescent="0.25">
      <c r="A21" t="s">
        <v>217</v>
      </c>
      <c r="B21">
        <v>0</v>
      </c>
      <c r="C21" t="s">
        <v>228</v>
      </c>
      <c r="D21" s="49"/>
      <c r="M21" t="s">
        <v>240</v>
      </c>
      <c r="N21" s="59"/>
      <c r="O21" t="s">
        <v>200</v>
      </c>
    </row>
    <row r="22" spans="1:17" x14ac:dyDescent="0.25">
      <c r="A22" t="s">
        <v>230</v>
      </c>
      <c r="B22" s="40">
        <f>B11*$B$10/60*B20</f>
        <v>0.33938573333333338</v>
      </c>
      <c r="C22" t="s">
        <v>228</v>
      </c>
      <c r="D22" s="49"/>
      <c r="G22" s="13" t="s">
        <v>171</v>
      </c>
      <c r="J22" s="13" t="s">
        <v>171</v>
      </c>
      <c r="M22" t="s">
        <v>241</v>
      </c>
      <c r="N22" s="59"/>
      <c r="O22" t="s">
        <v>200</v>
      </c>
    </row>
    <row r="23" spans="1:17" ht="15.75" x14ac:dyDescent="0.25">
      <c r="A23" t="s">
        <v>294</v>
      </c>
      <c r="B23" s="40">
        <f>B13*$B$10/60*B20</f>
        <v>1.6170732000000001</v>
      </c>
      <c r="C23" t="s">
        <v>228</v>
      </c>
      <c r="D23" s="49"/>
      <c r="G23" s="36" t="s">
        <v>162</v>
      </c>
      <c r="H23" s="48">
        <v>16</v>
      </c>
      <c r="I23" t="s">
        <v>178</v>
      </c>
      <c r="J23" s="36" t="s">
        <v>207</v>
      </c>
      <c r="K23" s="48">
        <v>20</v>
      </c>
      <c r="L23" t="s">
        <v>208</v>
      </c>
    </row>
    <row r="24" spans="1:17" x14ac:dyDescent="0.25">
      <c r="A24" t="s">
        <v>251</v>
      </c>
      <c r="B24" s="40">
        <f>B15*$B$10/60*B20</f>
        <v>3.0345077333333332</v>
      </c>
      <c r="C24" t="s">
        <v>228</v>
      </c>
      <c r="G24" t="s">
        <v>164</v>
      </c>
      <c r="H24">
        <v>200</v>
      </c>
      <c r="I24" t="s">
        <v>165</v>
      </c>
      <c r="J24" t="s">
        <v>239</v>
      </c>
      <c r="K24">
        <v>0.5</v>
      </c>
      <c r="L24" t="s">
        <v>220</v>
      </c>
      <c r="M24" s="13" t="s">
        <v>171</v>
      </c>
    </row>
    <row r="25" spans="1:17" ht="15.75" x14ac:dyDescent="0.25">
      <c r="G25" s="36" t="s">
        <v>167</v>
      </c>
      <c r="H25">
        <v>0.85</v>
      </c>
      <c r="I25" t="s">
        <v>175</v>
      </c>
    </row>
    <row r="26" spans="1:17" ht="15.75" x14ac:dyDescent="0.25">
      <c r="A26" t="s">
        <v>213</v>
      </c>
      <c r="B26" s="47">
        <v>0.9</v>
      </c>
      <c r="C26" s="45" t="s">
        <v>216</v>
      </c>
      <c r="G26" s="36" t="s">
        <v>170</v>
      </c>
      <c r="H26" s="38">
        <f>H23*H24/1000/H25</f>
        <v>3.7647058823529416</v>
      </c>
      <c r="I26" t="s">
        <v>168</v>
      </c>
    </row>
    <row r="27" spans="1:17" ht="15.75" x14ac:dyDescent="0.25">
      <c r="A27" t="s">
        <v>215</v>
      </c>
      <c r="B27" s="47">
        <v>1</v>
      </c>
      <c r="C27" s="45" t="s">
        <v>295</v>
      </c>
      <c r="G27" s="36" t="s">
        <v>169</v>
      </c>
      <c r="H27" s="38">
        <f>H26*1.3</f>
        <v>4.8941176470588239</v>
      </c>
      <c r="I27" t="s">
        <v>176</v>
      </c>
    </row>
    <row r="28" spans="1:17" ht="15.75" x14ac:dyDescent="0.25">
      <c r="A28" t="s">
        <v>214</v>
      </c>
      <c r="B28" s="47">
        <v>1</v>
      </c>
      <c r="C28" s="45" t="s">
        <v>295</v>
      </c>
      <c r="G28" s="36"/>
    </row>
    <row r="29" spans="1:17" ht="15.75" x14ac:dyDescent="0.25">
      <c r="A29" t="s">
        <v>249</v>
      </c>
      <c r="B29" s="47">
        <v>1.6</v>
      </c>
      <c r="C29" s="45" t="s">
        <v>296</v>
      </c>
      <c r="G29" s="36" t="s">
        <v>166</v>
      </c>
      <c r="H29">
        <v>1200</v>
      </c>
      <c r="I29" t="s">
        <v>190</v>
      </c>
    </row>
    <row r="30" spans="1:17" ht="15.75" x14ac:dyDescent="0.25">
      <c r="A30" t="s">
        <v>250</v>
      </c>
      <c r="B30" s="47">
        <v>1.6</v>
      </c>
      <c r="C30" s="45" t="s">
        <v>296</v>
      </c>
      <c r="G30" s="37" t="s">
        <v>179</v>
      </c>
      <c r="H30" s="39">
        <f>H27*H29</f>
        <v>5872.9411764705883</v>
      </c>
      <c r="I30" t="s">
        <v>177</v>
      </c>
    </row>
    <row r="32" spans="1:17" x14ac:dyDescent="0.25">
      <c r="A32" t="s">
        <v>303</v>
      </c>
      <c r="B32" t="s">
        <v>305</v>
      </c>
      <c r="C32" t="s">
        <v>302</v>
      </c>
      <c r="D32" t="s">
        <v>304</v>
      </c>
      <c r="E32" t="s">
        <v>301</v>
      </c>
      <c r="G32" t="s">
        <v>191</v>
      </c>
      <c r="H32" t="s">
        <v>247</v>
      </c>
      <c r="J32" t="s">
        <v>191</v>
      </c>
    </row>
    <row r="33" spans="1:12" ht="15" customHeight="1" x14ac:dyDescent="0.25">
      <c r="A33" s="18">
        <v>0.8</v>
      </c>
      <c r="B33" s="79">
        <v>0</v>
      </c>
      <c r="C33" s="78">
        <v>0</v>
      </c>
      <c r="D33" s="53">
        <v>0</v>
      </c>
      <c r="E33" s="82">
        <f>D33*20*$B$10/60</f>
        <v>0</v>
      </c>
      <c r="G33" t="s">
        <v>233</v>
      </c>
      <c r="H33" s="63">
        <v>226</v>
      </c>
      <c r="J33" t="s">
        <v>209</v>
      </c>
      <c r="K33" s="44">
        <v>23</v>
      </c>
    </row>
    <row r="34" spans="1:12" x14ac:dyDescent="0.25">
      <c r="A34" s="18">
        <v>1</v>
      </c>
      <c r="B34" s="79">
        <v>1.7000000000000001E-2</v>
      </c>
      <c r="C34" s="78">
        <v>0.33938573333333338</v>
      </c>
      <c r="D34" s="53">
        <v>0.1</v>
      </c>
      <c r="E34" s="82">
        <f>D34*20*$B$10/60</f>
        <v>0.19963866666666666</v>
      </c>
      <c r="G34" t="s">
        <v>234</v>
      </c>
      <c r="H34" s="63">
        <v>200</v>
      </c>
      <c r="J34" t="s">
        <v>210</v>
      </c>
      <c r="K34" s="44">
        <v>20</v>
      </c>
    </row>
    <row r="35" spans="1:12" x14ac:dyDescent="0.25">
      <c r="A35" s="18">
        <v>1.6</v>
      </c>
      <c r="B35" s="79">
        <v>8.1000000000000003E-2</v>
      </c>
      <c r="C35" s="78">
        <v>1.6170732000000001</v>
      </c>
      <c r="D35" s="53">
        <v>0.6</v>
      </c>
      <c r="E35" s="82">
        <f>D35*20*$B$10/60</f>
        <v>1.1978320000000002</v>
      </c>
      <c r="G35" t="s">
        <v>235</v>
      </c>
      <c r="H35" s="63">
        <v>116</v>
      </c>
      <c r="J35" t="s">
        <v>211</v>
      </c>
      <c r="K35" s="44">
        <v>16</v>
      </c>
    </row>
    <row r="36" spans="1:12" x14ac:dyDescent="0.25">
      <c r="A36" s="18">
        <v>2</v>
      </c>
      <c r="B36" s="79">
        <v>0.152</v>
      </c>
      <c r="C36" s="78">
        <v>3.0345077333333332</v>
      </c>
      <c r="D36" s="53">
        <v>0.75</v>
      </c>
      <c r="E36" s="82">
        <f>D36*20*$B$10/60</f>
        <v>1.49729</v>
      </c>
      <c r="G36" t="s">
        <v>236</v>
      </c>
      <c r="H36">
        <v>33</v>
      </c>
      <c r="J36" t="s">
        <v>180</v>
      </c>
      <c r="K36">
        <f>365-K37-K38</f>
        <v>195</v>
      </c>
    </row>
    <row r="37" spans="1:12" x14ac:dyDescent="0.25">
      <c r="G37" t="s">
        <v>237</v>
      </c>
      <c r="H37">
        <v>45</v>
      </c>
      <c r="J37" t="s">
        <v>181</v>
      </c>
      <c r="K37">
        <v>55</v>
      </c>
    </row>
    <row r="38" spans="1:12" x14ac:dyDescent="0.25">
      <c r="G38" t="s">
        <v>238</v>
      </c>
      <c r="H38">
        <v>22</v>
      </c>
      <c r="J38" t="s">
        <v>182</v>
      </c>
      <c r="K38">
        <v>115</v>
      </c>
    </row>
    <row r="39" spans="1:12" x14ac:dyDescent="0.25">
      <c r="G39" s="60" t="s">
        <v>245</v>
      </c>
      <c r="H39">
        <f>SUMPRODUCT(H33:H35,H36:H38)</f>
        <v>19010</v>
      </c>
      <c r="I39" t="s">
        <v>243</v>
      </c>
      <c r="J39" s="60" t="s">
        <v>246</v>
      </c>
      <c r="K39">
        <f>SUMPRODUCT(K33:K35,K36:K38)</f>
        <v>7425</v>
      </c>
      <c r="L39" t="s">
        <v>212</v>
      </c>
    </row>
    <row r="40" spans="1:12" x14ac:dyDescent="0.25">
      <c r="G40" s="13" t="s">
        <v>244</v>
      </c>
      <c r="H40" s="62">
        <f>H27*H39</f>
        <v>93037.176470588238</v>
      </c>
      <c r="I40" t="s">
        <v>189</v>
      </c>
      <c r="J40" s="13" t="s">
        <v>244</v>
      </c>
      <c r="K40" s="62">
        <f>K23*K24*K39</f>
        <v>74250</v>
      </c>
      <c r="L40" t="s">
        <v>189</v>
      </c>
    </row>
    <row r="50" spans="1:10" x14ac:dyDescent="0.25">
      <c r="H50" s="38"/>
      <c r="I50" s="38"/>
      <c r="J50" s="38"/>
    </row>
    <row r="56" spans="1:10" x14ac:dyDescent="0.25">
      <c r="A56" s="265" t="s">
        <v>260</v>
      </c>
      <c r="B56" s="14" t="s">
        <v>258</v>
      </c>
      <c r="C56">
        <v>1.1821999999999999</v>
      </c>
      <c r="D56">
        <v>1.1819999999999999</v>
      </c>
      <c r="E56">
        <f>D56/3</f>
        <v>0.39399999999999996</v>
      </c>
    </row>
    <row r="57" spans="1:10" x14ac:dyDescent="0.25">
      <c r="A57" s="265"/>
      <c r="B57" s="14" t="s">
        <v>259</v>
      </c>
      <c r="C57">
        <v>-0.81589999999999996</v>
      </c>
      <c r="D57">
        <v>-0.81599999999999995</v>
      </c>
      <c r="E57">
        <f>D57/2</f>
        <v>-0.40799999999999997</v>
      </c>
    </row>
    <row r="58" spans="1:10" x14ac:dyDescent="0.25">
      <c r="A58" s="265"/>
      <c r="B58" s="14" t="s">
        <v>289</v>
      </c>
      <c r="C58">
        <v>-7.4300000000000005E-2</v>
      </c>
      <c r="D58">
        <v>-7.4999999999999997E-2</v>
      </c>
      <c r="E58">
        <f>D58</f>
        <v>-7.4999999999999997E-2</v>
      </c>
    </row>
    <row r="59" spans="1:10" ht="30" x14ac:dyDescent="0.25">
      <c r="A59" s="74" t="s">
        <v>291</v>
      </c>
      <c r="B59" s="77" t="s">
        <v>307</v>
      </c>
      <c r="C59" s="74" t="s">
        <v>297</v>
      </c>
      <c r="D59" s="74" t="s">
        <v>297</v>
      </c>
      <c r="E59" t="s">
        <v>298</v>
      </c>
    </row>
    <row r="60" spans="1:10" x14ac:dyDescent="0.25">
      <c r="A60" s="81">
        <v>0.77249414278130668</v>
      </c>
      <c r="B60" s="14"/>
      <c r="C60" s="38">
        <f t="shared" ref="C60:C65" si="0">$C$56*$A60*$A60+$C$57*$A60+$C$58</f>
        <v>8.9656949120345275E-4</v>
      </c>
      <c r="D60" s="80">
        <f t="shared" ref="D60:D65" si="1">$D$56*$A60*$A60+$D$57*$A60+$D$58</f>
        <v>-2.9363200801379996E-8</v>
      </c>
      <c r="E60">
        <f>$E$56*A60*A60*A60+$E$57*A60*A60+$E$58*A60</f>
        <v>-0.11978233398590615</v>
      </c>
    </row>
    <row r="61" spans="1:10" x14ac:dyDescent="0.25">
      <c r="A61" s="18">
        <v>0.8</v>
      </c>
      <c r="B61" s="38">
        <v>0</v>
      </c>
      <c r="C61" s="38">
        <f t="shared" si="0"/>
        <v>2.9587999999999975E-2</v>
      </c>
      <c r="D61" s="40">
        <f t="shared" si="1"/>
        <v>2.8679999999999997E-2</v>
      </c>
      <c r="E61" s="40">
        <f>$E$56*A61*A61*A61+$E$57*A61*A61+$E$58*A61-$E$60</f>
        <v>3.9033398590615498E-4</v>
      </c>
    </row>
    <row r="62" spans="1:10" x14ac:dyDescent="0.25">
      <c r="A62" s="18">
        <v>1</v>
      </c>
      <c r="B62" s="38">
        <v>0.33938573333333338</v>
      </c>
      <c r="C62" s="38">
        <f t="shared" si="0"/>
        <v>0.29199999999999993</v>
      </c>
      <c r="D62" s="40">
        <f t="shared" si="1"/>
        <v>0.29099999999999998</v>
      </c>
      <c r="E62" s="40">
        <f>$E$56*A62*A62*A62+$E$57*A62*A62+$E$58*A62-$E$60</f>
        <v>3.0782333985906143E-2</v>
      </c>
    </row>
    <row r="63" spans="1:10" x14ac:dyDescent="0.25">
      <c r="A63" s="18">
        <v>1.6</v>
      </c>
      <c r="B63" s="38">
        <v>1.6170732000000001</v>
      </c>
      <c r="C63" s="38">
        <f t="shared" si="0"/>
        <v>1.6466919999999998</v>
      </c>
      <c r="D63" s="40">
        <f t="shared" si="1"/>
        <v>1.6453200000000001</v>
      </c>
      <c r="E63" s="40">
        <f>$E$56*A63*A63*A63+$E$57*A63*A63+$E$58*A63-$E$60</f>
        <v>0.56912633398590629</v>
      </c>
    </row>
    <row r="64" spans="1:10" x14ac:dyDescent="0.25">
      <c r="A64" s="18">
        <v>1.7</v>
      </c>
      <c r="B64" s="38"/>
      <c r="C64" s="38">
        <f t="shared" si="0"/>
        <v>1.955228</v>
      </c>
      <c r="D64" s="40">
        <f t="shared" si="1"/>
        <v>1.9537800000000003</v>
      </c>
      <c r="E64" s="40">
        <f>$E$56*A64*A64*A64+$E$57*A64*A64+$E$58*A64-$E$60</f>
        <v>0.74888433398590593</v>
      </c>
    </row>
    <row r="65" spans="1:5" x14ac:dyDescent="0.25">
      <c r="A65" s="18">
        <v>2</v>
      </c>
      <c r="B65" s="38">
        <v>3.0345077333333332</v>
      </c>
      <c r="C65" s="38">
        <f t="shared" si="0"/>
        <v>3.0226999999999995</v>
      </c>
      <c r="D65" s="40">
        <f t="shared" si="1"/>
        <v>3.0209999999999999</v>
      </c>
      <c r="E65" s="40">
        <f>$E$56*A65*A65*A65+$E$57*A65*A65+$E$58*A65-$E$60</f>
        <v>1.489782333985906</v>
      </c>
    </row>
    <row r="67" spans="1:5" x14ac:dyDescent="0.25">
      <c r="A67" s="266"/>
      <c r="B67" s="265" t="s">
        <v>260</v>
      </c>
      <c r="C67" s="14" t="s">
        <v>258</v>
      </c>
      <c r="D67">
        <v>1.2</v>
      </c>
      <c r="E67">
        <f>D67/3</f>
        <v>0.39999999999999997</v>
      </c>
    </row>
    <row r="68" spans="1:5" x14ac:dyDescent="0.25">
      <c r="A68" s="266"/>
      <c r="B68" s="265"/>
      <c r="C68" s="14" t="s">
        <v>259</v>
      </c>
      <c r="D68">
        <v>1</v>
      </c>
      <c r="E68">
        <f>D68/2</f>
        <v>0.5</v>
      </c>
    </row>
    <row r="69" spans="1:5" x14ac:dyDescent="0.25">
      <c r="A69" s="266"/>
      <c r="B69" s="265"/>
      <c r="C69" s="14" t="s">
        <v>289</v>
      </c>
      <c r="D69">
        <v>0.09</v>
      </c>
      <c r="E69">
        <f>D69</f>
        <v>0.09</v>
      </c>
    </row>
    <row r="70" spans="1:5" x14ac:dyDescent="0.25">
      <c r="A70" s="74" t="s">
        <v>306</v>
      </c>
      <c r="B70" s="77" t="s">
        <v>307</v>
      </c>
      <c r="C70" t="s">
        <v>300</v>
      </c>
      <c r="D70" t="s">
        <v>299</v>
      </c>
      <c r="E70" t="s">
        <v>298</v>
      </c>
    </row>
    <row r="71" spans="1:5" x14ac:dyDescent="0.25">
      <c r="A71" s="85">
        <f>A72+C71</f>
        <v>0.6973837206821043</v>
      </c>
      <c r="C71" s="83">
        <v>-0.10261627931789577</v>
      </c>
      <c r="D71" s="56">
        <f t="shared" ref="D71:D76" si="2">$D$67*$C71*$C71+$D$68*$C71+$D$69</f>
        <v>1.9841619362304108E-5</v>
      </c>
      <c r="E71" s="38">
        <f t="shared" ref="E71:E76" si="3">$E$67*$C71*$C71*$C71+$E$68*$C71*$C71+$E$69*$C71</f>
        <v>-4.4026386532838796E-3</v>
      </c>
    </row>
    <row r="72" spans="1:5" x14ac:dyDescent="0.25">
      <c r="A72" s="18">
        <v>0.8</v>
      </c>
      <c r="C72" s="18">
        <v>0</v>
      </c>
      <c r="D72" s="38">
        <f t="shared" si="2"/>
        <v>0.09</v>
      </c>
      <c r="E72" s="40">
        <f t="shared" si="3"/>
        <v>0</v>
      </c>
    </row>
    <row r="73" spans="1:5" x14ac:dyDescent="0.25">
      <c r="A73" s="75" t="s">
        <v>292</v>
      </c>
      <c r="B73" s="38">
        <v>0.33938573333333338</v>
      </c>
      <c r="C73" s="18">
        <v>0.2</v>
      </c>
      <c r="D73" s="38">
        <f t="shared" si="2"/>
        <v>0.33799999999999997</v>
      </c>
      <c r="E73" s="40">
        <f t="shared" si="3"/>
        <v>4.1200000000000001E-2</v>
      </c>
    </row>
    <row r="74" spans="1:5" x14ac:dyDescent="0.25">
      <c r="A74" s="18">
        <v>1.6</v>
      </c>
      <c r="B74" s="38">
        <v>1.6170732000000001</v>
      </c>
      <c r="C74" s="18">
        <v>0.8</v>
      </c>
      <c r="D74" s="38">
        <f t="shared" si="2"/>
        <v>1.6580000000000001</v>
      </c>
      <c r="E74" s="40">
        <f t="shared" si="3"/>
        <v>0.5968</v>
      </c>
    </row>
    <row r="75" spans="1:5" x14ac:dyDescent="0.25">
      <c r="A75" s="75" t="s">
        <v>293</v>
      </c>
      <c r="C75" s="18">
        <v>0.9</v>
      </c>
      <c r="D75" s="38">
        <f t="shared" si="2"/>
        <v>1.9620000000000002</v>
      </c>
      <c r="E75" s="40">
        <f t="shared" si="3"/>
        <v>0.77760000000000007</v>
      </c>
    </row>
    <row r="76" spans="1:5" x14ac:dyDescent="0.25">
      <c r="A76" s="18">
        <v>2</v>
      </c>
      <c r="B76" s="38">
        <v>3.0345077333333332</v>
      </c>
      <c r="C76" s="18">
        <v>1.2</v>
      </c>
      <c r="D76" s="38">
        <f t="shared" si="2"/>
        <v>3.0179999999999998</v>
      </c>
      <c r="E76" s="40">
        <f t="shared" si="3"/>
        <v>1.5191999999999999</v>
      </c>
    </row>
    <row r="78" spans="1:5" x14ac:dyDescent="0.25">
      <c r="A78" s="265"/>
      <c r="B78" s="265" t="s">
        <v>260</v>
      </c>
      <c r="C78" s="14" t="s">
        <v>258</v>
      </c>
      <c r="D78">
        <v>1.25</v>
      </c>
      <c r="E78">
        <f>D78/3</f>
        <v>0.41666666666666669</v>
      </c>
    </row>
    <row r="79" spans="1:5" x14ac:dyDescent="0.25">
      <c r="A79" s="265"/>
      <c r="B79" s="265"/>
      <c r="C79" s="14" t="s">
        <v>259</v>
      </c>
      <c r="D79">
        <v>0.77500000000000002</v>
      </c>
      <c r="E79">
        <f>D79/2</f>
        <v>0.38750000000000001</v>
      </c>
    </row>
    <row r="80" spans="1:5" x14ac:dyDescent="0.25">
      <c r="A80" s="265"/>
      <c r="B80" s="265"/>
      <c r="C80" s="14" t="s">
        <v>289</v>
      </c>
      <c r="D80">
        <v>-0.09</v>
      </c>
      <c r="E80">
        <f>D80</f>
        <v>-0.09</v>
      </c>
    </row>
    <row r="81" spans="1:5" ht="30" x14ac:dyDescent="0.25">
      <c r="A81" s="74" t="s">
        <v>306</v>
      </c>
      <c r="B81" s="77" t="s">
        <v>307</v>
      </c>
      <c r="C81" s="74" t="s">
        <v>290</v>
      </c>
      <c r="D81" t="s">
        <v>299</v>
      </c>
      <c r="E81" t="s">
        <v>298</v>
      </c>
    </row>
    <row r="82" spans="1:5" x14ac:dyDescent="0.25">
      <c r="A82" s="18">
        <v>0.7</v>
      </c>
      <c r="B82" s="14"/>
      <c r="C82" s="66">
        <v>0</v>
      </c>
      <c r="D82" s="38">
        <f t="shared" ref="D82:D88" si="4">$D$78*$C82*$C82+$D$79*$C82+$D$80</f>
        <v>-0.09</v>
      </c>
      <c r="E82" s="40">
        <f>$E$78*$C82*$C82*$C82+$E$79*$C82*$C82+$E$80*$C82-$E$83</f>
        <v>4.7083332229692441E-3</v>
      </c>
    </row>
    <row r="83" spans="1:5" x14ac:dyDescent="0.25">
      <c r="A83" s="81">
        <f>A82+C83</f>
        <v>0.79998532528941779</v>
      </c>
      <c r="C83" s="84">
        <v>9.9985325289417892E-2</v>
      </c>
      <c r="D83" s="38">
        <f t="shared" si="4"/>
        <v>-1.5041309162744376E-5</v>
      </c>
      <c r="E83" s="40">
        <f>$E$78*$C83*$C83*$C83+$E$79*$C83*$C83+$E$80*$C83</f>
        <v>-4.7083332229692441E-3</v>
      </c>
    </row>
    <row r="84" spans="1:5" x14ac:dyDescent="0.25">
      <c r="A84" s="18">
        <v>0.8</v>
      </c>
      <c r="B84" s="38">
        <v>0</v>
      </c>
      <c r="C84" s="66">
        <v>0.1</v>
      </c>
      <c r="D84" s="40">
        <f t="shared" si="4"/>
        <v>0</v>
      </c>
      <c r="E84" s="40">
        <f>$E$78*$C84*$C84*$C84+$E$79*$C84*$C84+$E$80*$C84-$E$83</f>
        <v>-1.1036408766040839E-10</v>
      </c>
    </row>
    <row r="85" spans="1:5" x14ac:dyDescent="0.25">
      <c r="A85" s="75" t="s">
        <v>292</v>
      </c>
      <c r="B85" s="38">
        <v>0.33938573333333338</v>
      </c>
      <c r="C85" s="66">
        <v>0.3</v>
      </c>
      <c r="D85" s="76">
        <f t="shared" si="4"/>
        <v>0.255</v>
      </c>
      <c r="E85" s="40">
        <f>$E$78*$C85*$C85*$C85+$E$79*$C85*$C85+$E$80*$C85-$E$83</f>
        <v>2.3833333222969245E-2</v>
      </c>
    </row>
    <row r="86" spans="1:5" x14ac:dyDescent="0.25">
      <c r="A86" s="18">
        <v>1.6</v>
      </c>
      <c r="B86" s="38">
        <v>1.6170732000000001</v>
      </c>
      <c r="C86" s="66">
        <v>0.9</v>
      </c>
      <c r="D86" s="40">
        <f t="shared" si="4"/>
        <v>1.6199999999999999</v>
      </c>
      <c r="E86" s="40">
        <f>$E$78*$C86*$C86*$C86+$E$79*$C86*$C86+$E$80*$C86-$E$83</f>
        <v>0.54133333322296939</v>
      </c>
    </row>
    <row r="87" spans="1:5" x14ac:dyDescent="0.25">
      <c r="A87" s="75" t="s">
        <v>293</v>
      </c>
      <c r="B87" s="38"/>
      <c r="C87" s="66">
        <v>1</v>
      </c>
      <c r="D87" s="40">
        <f t="shared" si="4"/>
        <v>1.9349999999999998</v>
      </c>
      <c r="E87" s="40">
        <f>$E$78*$C87*$C87*$C87+$E$79*$C87*$C87+$E$80*$C87-$E$83</f>
        <v>0.71887499988963599</v>
      </c>
    </row>
    <row r="88" spans="1:5" x14ac:dyDescent="0.25">
      <c r="A88" s="18">
        <v>2</v>
      </c>
      <c r="B88" s="38">
        <v>3.0345077333333332</v>
      </c>
      <c r="C88" s="66">
        <v>1.3</v>
      </c>
      <c r="D88" s="40">
        <f t="shared" si="4"/>
        <v>3.0300000000000002</v>
      </c>
      <c r="E88" s="40">
        <f>$E$78*$C88*$C88*$C88+$E$79*$C88*$C88+$E$80*$C88-$E$83</f>
        <v>1.457999999889636</v>
      </c>
    </row>
    <row r="100" spans="1:4" x14ac:dyDescent="0.25">
      <c r="A100" s="18"/>
      <c r="B100" s="38"/>
      <c r="C100" s="38"/>
      <c r="D100" s="40"/>
    </row>
    <row r="101" spans="1:4" x14ac:dyDescent="0.25">
      <c r="A101" s="18"/>
      <c r="B101" s="38"/>
      <c r="C101" s="38"/>
      <c r="D101" s="40"/>
    </row>
  </sheetData>
  <mergeCells count="5">
    <mergeCell ref="A78:A80"/>
    <mergeCell ref="A67:A69"/>
    <mergeCell ref="A56:A58"/>
    <mergeCell ref="B78:B80"/>
    <mergeCell ref="B67:B69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03"/>
  <sheetViews>
    <sheetView workbookViewId="0"/>
  </sheetViews>
  <sheetFormatPr defaultRowHeight="15" x14ac:dyDescent="0.25"/>
  <cols>
    <col min="1" max="1" width="14.5703125" bestFit="1" customWidth="1"/>
    <col min="2" max="2" width="7.7109375" bestFit="1" customWidth="1"/>
    <col min="3" max="3" width="4.42578125" bestFit="1" customWidth="1"/>
    <col min="4" max="4" width="8" bestFit="1" customWidth="1"/>
    <col min="5" max="6" width="8" customWidth="1"/>
    <col min="7" max="7" width="10" bestFit="1" customWidth="1"/>
    <col min="8" max="8" width="9.85546875" bestFit="1" customWidth="1"/>
    <col min="9" max="10" width="14.140625" bestFit="1" customWidth="1"/>
    <col min="12" max="12" width="14.5703125" bestFit="1" customWidth="1"/>
    <col min="13" max="13" width="7.7109375" bestFit="1" customWidth="1"/>
    <col min="14" max="14" width="5.42578125" bestFit="1" customWidth="1"/>
    <col min="15" max="15" width="8" bestFit="1" customWidth="1"/>
    <col min="16" max="17" width="8" customWidth="1"/>
    <col min="18" max="18" width="9.85546875" bestFit="1" customWidth="1"/>
    <col min="19" max="19" width="10" bestFit="1" customWidth="1"/>
    <col min="20" max="21" width="14.140625" bestFit="1" customWidth="1"/>
    <col min="23" max="25" width="9.140625" customWidth="1"/>
    <col min="27" max="27" width="9.140625" style="69"/>
  </cols>
  <sheetData>
    <row r="1" spans="1:31" x14ac:dyDescent="0.25">
      <c r="A1" s="13" t="s">
        <v>138</v>
      </c>
      <c r="J1">
        <f>(I3*2+J3*7)/9+(I53*2+J53*7)/9</f>
        <v>226.03888888888883</v>
      </c>
      <c r="L1" s="13" t="s">
        <v>147</v>
      </c>
      <c r="U1">
        <f>(T3*2+U3*7)/9+(T31*2+U31*7)/9</f>
        <v>116.04444444444447</v>
      </c>
      <c r="W1" s="41"/>
      <c r="X1" s="41"/>
      <c r="Y1" s="41"/>
    </row>
    <row r="2" spans="1:31" x14ac:dyDescent="0.25">
      <c r="A2" s="13"/>
      <c r="B2" s="13" t="s">
        <v>77</v>
      </c>
      <c r="C2" s="13" t="s">
        <v>76</v>
      </c>
      <c r="D2" s="13" t="s">
        <v>78</v>
      </c>
      <c r="E2" s="13" t="s">
        <v>280</v>
      </c>
      <c r="F2" s="13" t="s">
        <v>281</v>
      </c>
      <c r="G2" s="29" t="s">
        <v>145</v>
      </c>
      <c r="H2" s="29" t="s">
        <v>146</v>
      </c>
      <c r="I2" s="13" t="s">
        <v>193</v>
      </c>
      <c r="J2" s="13" t="s">
        <v>194</v>
      </c>
      <c r="L2" s="13"/>
      <c r="M2" s="13" t="s">
        <v>77</v>
      </c>
      <c r="N2" s="13" t="s">
        <v>76</v>
      </c>
      <c r="O2" s="13" t="s">
        <v>78</v>
      </c>
      <c r="P2" s="13" t="s">
        <v>282</v>
      </c>
      <c r="Q2" s="13" t="s">
        <v>283</v>
      </c>
      <c r="R2" s="29" t="s">
        <v>148</v>
      </c>
      <c r="S2" s="29" t="s">
        <v>149</v>
      </c>
      <c r="T2" s="13" t="s">
        <v>195</v>
      </c>
      <c r="U2" s="13" t="s">
        <v>196</v>
      </c>
      <c r="W2" s="42" t="s">
        <v>187</v>
      </c>
      <c r="X2" s="42" t="s">
        <v>22</v>
      </c>
      <c r="Y2" s="42" t="s">
        <v>188</v>
      </c>
      <c r="AA2" s="69" t="s">
        <v>79</v>
      </c>
      <c r="AB2" s="15">
        <v>180</v>
      </c>
      <c r="AC2" s="15">
        <v>180</v>
      </c>
      <c r="AD2" s="15">
        <v>400</v>
      </c>
      <c r="AE2" s="15">
        <v>300</v>
      </c>
    </row>
    <row r="3" spans="1:31" x14ac:dyDescent="0.25">
      <c r="A3" s="13" t="s">
        <v>135</v>
      </c>
      <c r="B3" s="13"/>
      <c r="C3" s="13"/>
      <c r="D3" s="13"/>
      <c r="E3" s="13"/>
      <c r="F3" s="13"/>
      <c r="G3" s="29"/>
      <c r="H3" s="29"/>
      <c r="I3" s="14">
        <f>SUM(I4:I52)</f>
        <v>101.34999999999997</v>
      </c>
      <c r="J3" s="14">
        <f>SUM(J4:J52)</f>
        <v>118.74999999999999</v>
      </c>
      <c r="L3" s="13" t="s">
        <v>135</v>
      </c>
      <c r="M3" s="13"/>
      <c r="N3" s="13"/>
      <c r="O3" s="13"/>
      <c r="P3" s="13"/>
      <c r="Q3" s="13"/>
      <c r="R3" s="29"/>
      <c r="S3" s="29"/>
      <c r="T3" s="14">
        <f>SUM(T4:T30)</f>
        <v>41.199999999999996</v>
      </c>
      <c r="U3" s="14">
        <f>SUM(U4:U30)</f>
        <v>57.100000000000009</v>
      </c>
      <c r="W3" s="41" t="s">
        <v>183</v>
      </c>
      <c r="X3" s="41">
        <v>26.718</v>
      </c>
      <c r="Y3" s="41">
        <v>0.65</v>
      </c>
      <c r="AA3" s="69" t="s">
        <v>31</v>
      </c>
      <c r="AB3" s="15">
        <v>180</v>
      </c>
      <c r="AC3" s="14" t="s">
        <v>284</v>
      </c>
      <c r="AD3" s="15">
        <v>200</v>
      </c>
      <c r="AE3" s="14" t="s">
        <v>284</v>
      </c>
    </row>
    <row r="4" spans="1:31" x14ac:dyDescent="0.25">
      <c r="B4" t="s">
        <v>24</v>
      </c>
      <c r="C4" t="s">
        <v>25</v>
      </c>
      <c r="D4">
        <v>53.328000000000003</v>
      </c>
      <c r="E4">
        <f>VLOOKUP(B4,$AA$2:$AE$103,2,FALSE)</f>
        <v>180</v>
      </c>
      <c r="F4">
        <f>VLOOKUP(B4,$AA$2:$AE$103,4,FALSE)</f>
        <v>250</v>
      </c>
      <c r="G4" s="14">
        <v>100</v>
      </c>
      <c r="H4" s="14">
        <v>200</v>
      </c>
      <c r="I4">
        <f t="shared" ref="I4:I35" si="0">ROUNDUP(G4/150,0)*VLOOKUP(D4,$X$2:$Y$6,2)</f>
        <v>1</v>
      </c>
      <c r="J4">
        <f t="shared" ref="J4:J35" si="1">ROUNDUP(H4/150,0)*VLOOKUP(D4,$X$2:$Y$6,2)</f>
        <v>2</v>
      </c>
      <c r="M4" t="s">
        <v>27</v>
      </c>
      <c r="N4" t="s">
        <v>28</v>
      </c>
      <c r="O4" s="32">
        <v>53.328000000000003</v>
      </c>
      <c r="P4">
        <f>VLOOKUP(M4,$AA$2:$AE$103,3,FALSE)</f>
        <v>180</v>
      </c>
      <c r="Q4">
        <f>VLOOKUP(M4,$AA$2:$AE$103,5,FALSE)</f>
        <v>200</v>
      </c>
      <c r="R4" s="67">
        <v>100</v>
      </c>
      <c r="S4" s="68">
        <v>100</v>
      </c>
      <c r="T4">
        <f t="shared" ref="T4:T30" si="2">ROUNDUP(R4/150,0)*VLOOKUP(O4,$X$2:$Y$6,2)</f>
        <v>1</v>
      </c>
      <c r="U4">
        <f t="shared" ref="U4:U30" si="3">ROUNDUP(S4/150,0)*VLOOKUP(O4,$X$2:$Y$6,2)</f>
        <v>1</v>
      </c>
      <c r="W4" s="41" t="s">
        <v>184</v>
      </c>
      <c r="X4" s="41">
        <v>46.847000000000001</v>
      </c>
      <c r="Y4" s="41">
        <v>1.3</v>
      </c>
      <c r="AA4" s="69" t="s">
        <v>84</v>
      </c>
      <c r="AB4" s="15">
        <v>540</v>
      </c>
      <c r="AC4" s="15">
        <v>180</v>
      </c>
      <c r="AD4" s="15">
        <v>800</v>
      </c>
      <c r="AE4" s="15">
        <v>300</v>
      </c>
    </row>
    <row r="5" spans="1:31" x14ac:dyDescent="0.25">
      <c r="B5" t="s">
        <v>26</v>
      </c>
      <c r="C5" t="s">
        <v>25</v>
      </c>
      <c r="D5">
        <v>26.718</v>
      </c>
      <c r="E5">
        <f t="shared" ref="E5:E68" si="4">VLOOKUP(B5,$AA$2:$AE$103,2,FALSE)</f>
        <v>180</v>
      </c>
      <c r="F5">
        <f t="shared" ref="F5:F68" si="5">VLOOKUP(B5,$AA$2:$AE$103,4,FALSE)</f>
        <v>180</v>
      </c>
      <c r="G5" s="14">
        <v>100</v>
      </c>
      <c r="H5" s="14">
        <v>100</v>
      </c>
      <c r="I5">
        <f t="shared" si="0"/>
        <v>0.65</v>
      </c>
      <c r="J5">
        <f t="shared" si="1"/>
        <v>0.65</v>
      </c>
      <c r="M5" t="s">
        <v>33</v>
      </c>
      <c r="N5" t="s">
        <v>28</v>
      </c>
      <c r="O5" s="32">
        <v>46.847000000000001</v>
      </c>
      <c r="P5">
        <f t="shared" ref="P5:P58" si="6">VLOOKUP(M5,$AA$2:$AE$103,3,FALSE)</f>
        <v>180</v>
      </c>
      <c r="Q5">
        <f t="shared" ref="Q5:Q58" si="7">VLOOKUP(M5,$AA$2:$AE$103,5,FALSE)</f>
        <v>180</v>
      </c>
      <c r="R5" s="68">
        <v>100</v>
      </c>
      <c r="S5" s="68">
        <v>100</v>
      </c>
      <c r="T5">
        <f t="shared" si="2"/>
        <v>1.3</v>
      </c>
      <c r="U5">
        <f t="shared" si="3"/>
        <v>1.3</v>
      </c>
      <c r="W5" s="41" t="s">
        <v>186</v>
      </c>
      <c r="X5" s="41">
        <v>53.328000000000003</v>
      </c>
      <c r="Y5" s="41">
        <f>60/60</f>
        <v>1</v>
      </c>
      <c r="AA5" s="69" t="s">
        <v>36</v>
      </c>
      <c r="AB5" s="15">
        <v>180</v>
      </c>
      <c r="AC5" s="15">
        <v>180</v>
      </c>
      <c r="AD5" s="15">
        <v>250</v>
      </c>
      <c r="AE5" s="15">
        <v>180</v>
      </c>
    </row>
    <row r="6" spans="1:31" x14ac:dyDescent="0.25">
      <c r="B6" t="s">
        <v>29</v>
      </c>
      <c r="C6" t="s">
        <v>25</v>
      </c>
      <c r="D6">
        <v>53.328000000000003</v>
      </c>
      <c r="E6">
        <f t="shared" si="4"/>
        <v>180</v>
      </c>
      <c r="F6">
        <f t="shared" si="5"/>
        <v>225</v>
      </c>
      <c r="G6" s="14">
        <v>100</v>
      </c>
      <c r="H6" s="14">
        <v>100</v>
      </c>
      <c r="I6">
        <f t="shared" si="0"/>
        <v>1</v>
      </c>
      <c r="J6">
        <f t="shared" si="1"/>
        <v>1</v>
      </c>
      <c r="M6" t="s">
        <v>35</v>
      </c>
      <c r="N6" t="s">
        <v>28</v>
      </c>
      <c r="O6" s="32">
        <v>100.175</v>
      </c>
      <c r="P6">
        <f t="shared" si="6"/>
        <v>180</v>
      </c>
      <c r="Q6">
        <f t="shared" si="7"/>
        <v>180</v>
      </c>
      <c r="R6" s="68">
        <v>100</v>
      </c>
      <c r="S6" s="68">
        <v>100</v>
      </c>
      <c r="T6">
        <f t="shared" si="2"/>
        <v>2.1</v>
      </c>
      <c r="U6">
        <f t="shared" si="3"/>
        <v>2.1</v>
      </c>
      <c r="W6" s="41" t="s">
        <v>185</v>
      </c>
      <c r="X6" s="41">
        <v>100.175</v>
      </c>
      <c r="Y6" s="41">
        <v>2.1</v>
      </c>
      <c r="AA6" s="69" t="s">
        <v>88</v>
      </c>
      <c r="AB6" s="15">
        <v>800</v>
      </c>
      <c r="AC6" s="15">
        <v>180</v>
      </c>
      <c r="AD6" s="15">
        <v>1000</v>
      </c>
      <c r="AE6" s="15">
        <v>250</v>
      </c>
    </row>
    <row r="7" spans="1:31" x14ac:dyDescent="0.25">
      <c r="B7" t="s">
        <v>30</v>
      </c>
      <c r="C7" t="s">
        <v>25</v>
      </c>
      <c r="D7">
        <v>26.718</v>
      </c>
      <c r="E7">
        <f t="shared" si="4"/>
        <v>180</v>
      </c>
      <c r="F7">
        <f t="shared" si="5"/>
        <v>180</v>
      </c>
      <c r="G7" s="14">
        <v>100</v>
      </c>
      <c r="H7" s="14">
        <v>100</v>
      </c>
      <c r="I7">
        <f t="shared" si="0"/>
        <v>0.65</v>
      </c>
      <c r="J7">
        <f t="shared" si="1"/>
        <v>0.65</v>
      </c>
      <c r="M7" t="s">
        <v>36</v>
      </c>
      <c r="N7" t="s">
        <v>28</v>
      </c>
      <c r="O7" s="32">
        <v>46.847000000000001</v>
      </c>
      <c r="P7">
        <f t="shared" si="6"/>
        <v>180</v>
      </c>
      <c r="Q7">
        <f t="shared" si="7"/>
        <v>180</v>
      </c>
      <c r="R7" s="68">
        <v>100</v>
      </c>
      <c r="S7" s="68">
        <v>100</v>
      </c>
      <c r="T7">
        <f t="shared" si="2"/>
        <v>1.3</v>
      </c>
      <c r="U7">
        <f t="shared" si="3"/>
        <v>1.3</v>
      </c>
      <c r="W7" s="41"/>
      <c r="X7" s="41"/>
      <c r="Y7" s="41"/>
      <c r="AA7" s="69" t="s">
        <v>38</v>
      </c>
      <c r="AB7" s="15">
        <v>180</v>
      </c>
      <c r="AC7" s="15">
        <v>180</v>
      </c>
      <c r="AD7" s="15">
        <v>200</v>
      </c>
      <c r="AE7" s="15">
        <v>180</v>
      </c>
    </row>
    <row r="8" spans="1:31" x14ac:dyDescent="0.25">
      <c r="B8" t="s">
        <v>31</v>
      </c>
      <c r="C8" t="s">
        <v>25</v>
      </c>
      <c r="D8">
        <v>46.847000000000001</v>
      </c>
      <c r="E8">
        <f t="shared" si="4"/>
        <v>180</v>
      </c>
      <c r="F8">
        <f t="shared" si="5"/>
        <v>200</v>
      </c>
      <c r="G8" s="14">
        <v>100</v>
      </c>
      <c r="H8" s="14">
        <v>100</v>
      </c>
      <c r="I8">
        <f t="shared" si="0"/>
        <v>1.3</v>
      </c>
      <c r="J8">
        <f t="shared" si="1"/>
        <v>1.3</v>
      </c>
      <c r="M8" t="s">
        <v>38</v>
      </c>
      <c r="N8" t="s">
        <v>28</v>
      </c>
      <c r="O8" s="32">
        <v>46.847000000000001</v>
      </c>
      <c r="P8">
        <f t="shared" si="6"/>
        <v>180</v>
      </c>
      <c r="Q8">
        <f t="shared" si="7"/>
        <v>180</v>
      </c>
      <c r="R8" s="68">
        <v>100</v>
      </c>
      <c r="S8" s="68">
        <v>100</v>
      </c>
      <c r="T8">
        <f t="shared" si="2"/>
        <v>1.3</v>
      </c>
      <c r="U8">
        <f t="shared" si="3"/>
        <v>1.3</v>
      </c>
      <c r="AA8" s="69" t="s">
        <v>91</v>
      </c>
      <c r="AB8" s="15">
        <v>540</v>
      </c>
      <c r="AC8" s="15">
        <v>180</v>
      </c>
      <c r="AD8" s="15">
        <v>640</v>
      </c>
      <c r="AE8" s="15">
        <v>300</v>
      </c>
    </row>
    <row r="9" spans="1:31" x14ac:dyDescent="0.25">
      <c r="B9" t="s">
        <v>32</v>
      </c>
      <c r="C9" t="s">
        <v>25</v>
      </c>
      <c r="D9">
        <v>53.328000000000003</v>
      </c>
      <c r="E9">
        <f t="shared" si="4"/>
        <v>180</v>
      </c>
      <c r="F9">
        <f t="shared" si="5"/>
        <v>325</v>
      </c>
      <c r="G9" s="14">
        <v>200</v>
      </c>
      <c r="H9" s="14">
        <v>200</v>
      </c>
      <c r="I9">
        <f t="shared" si="0"/>
        <v>2</v>
      </c>
      <c r="J9">
        <f t="shared" si="1"/>
        <v>2</v>
      </c>
      <c r="M9" t="s">
        <v>40</v>
      </c>
      <c r="N9" t="s">
        <v>28</v>
      </c>
      <c r="O9" s="32">
        <v>100.175</v>
      </c>
      <c r="P9">
        <f t="shared" si="6"/>
        <v>360</v>
      </c>
      <c r="Q9">
        <f t="shared" si="7"/>
        <v>380</v>
      </c>
      <c r="R9" s="68">
        <v>100</v>
      </c>
      <c r="S9" s="68">
        <v>100</v>
      </c>
      <c r="T9">
        <f t="shared" si="2"/>
        <v>2.1</v>
      </c>
      <c r="U9">
        <f t="shared" si="3"/>
        <v>2.1</v>
      </c>
      <c r="AA9" s="69" t="s">
        <v>41</v>
      </c>
      <c r="AB9" s="15">
        <v>180</v>
      </c>
      <c r="AC9" s="15">
        <v>180</v>
      </c>
      <c r="AD9" s="15">
        <v>200</v>
      </c>
      <c r="AE9" s="15">
        <v>200</v>
      </c>
    </row>
    <row r="10" spans="1:31" x14ac:dyDescent="0.25">
      <c r="B10" t="s">
        <v>33</v>
      </c>
      <c r="C10" t="s">
        <v>25</v>
      </c>
      <c r="D10">
        <v>26.718</v>
      </c>
      <c r="E10">
        <f t="shared" si="4"/>
        <v>180</v>
      </c>
      <c r="F10">
        <f t="shared" si="5"/>
        <v>180</v>
      </c>
      <c r="G10" s="14">
        <v>100</v>
      </c>
      <c r="H10" s="14">
        <v>100</v>
      </c>
      <c r="I10">
        <f t="shared" si="0"/>
        <v>0.65</v>
      </c>
      <c r="J10">
        <f t="shared" si="1"/>
        <v>0.65</v>
      </c>
      <c r="M10" t="s">
        <v>41</v>
      </c>
      <c r="N10" t="s">
        <v>28</v>
      </c>
      <c r="O10" s="32">
        <v>46.847000000000001</v>
      </c>
      <c r="P10">
        <f t="shared" si="6"/>
        <v>180</v>
      </c>
      <c r="Q10">
        <f t="shared" si="7"/>
        <v>200</v>
      </c>
      <c r="R10" s="68">
        <v>100</v>
      </c>
      <c r="S10" s="68">
        <v>100</v>
      </c>
      <c r="T10">
        <f t="shared" si="2"/>
        <v>1.3</v>
      </c>
      <c r="U10">
        <f t="shared" si="3"/>
        <v>1.3</v>
      </c>
      <c r="AA10" s="69" t="s">
        <v>95</v>
      </c>
      <c r="AB10" s="15">
        <v>180</v>
      </c>
      <c r="AC10" s="15">
        <v>180</v>
      </c>
      <c r="AD10" s="15">
        <v>250</v>
      </c>
      <c r="AE10" s="15">
        <v>200</v>
      </c>
    </row>
    <row r="11" spans="1:31" x14ac:dyDescent="0.25">
      <c r="B11" t="s">
        <v>34</v>
      </c>
      <c r="C11" t="s">
        <v>25</v>
      </c>
      <c r="D11">
        <v>26.718</v>
      </c>
      <c r="E11">
        <f t="shared" si="4"/>
        <v>180</v>
      </c>
      <c r="F11">
        <f t="shared" si="5"/>
        <v>180</v>
      </c>
      <c r="G11" s="14">
        <v>100</v>
      </c>
      <c r="H11" s="14">
        <v>100</v>
      </c>
      <c r="I11">
        <f t="shared" si="0"/>
        <v>0.65</v>
      </c>
      <c r="J11">
        <f t="shared" si="1"/>
        <v>0.65</v>
      </c>
      <c r="M11" t="s">
        <v>42</v>
      </c>
      <c r="N11" t="s">
        <v>28</v>
      </c>
      <c r="O11" s="32">
        <v>46.847000000000001</v>
      </c>
      <c r="P11">
        <f t="shared" si="6"/>
        <v>180</v>
      </c>
      <c r="Q11">
        <f t="shared" si="7"/>
        <v>200</v>
      </c>
      <c r="R11" s="68">
        <v>100</v>
      </c>
      <c r="S11" s="68">
        <v>100</v>
      </c>
      <c r="T11">
        <f t="shared" si="2"/>
        <v>1.3</v>
      </c>
      <c r="U11">
        <f t="shared" si="3"/>
        <v>1.3</v>
      </c>
      <c r="AA11" s="69" t="s">
        <v>42</v>
      </c>
      <c r="AB11" s="15">
        <v>180</v>
      </c>
      <c r="AC11" s="15">
        <v>180</v>
      </c>
      <c r="AD11" s="15">
        <v>200</v>
      </c>
      <c r="AE11" s="15">
        <v>200</v>
      </c>
    </row>
    <row r="12" spans="1:31" x14ac:dyDescent="0.25">
      <c r="B12" t="s">
        <v>35</v>
      </c>
      <c r="C12" t="s">
        <v>25</v>
      </c>
      <c r="D12">
        <v>100.175</v>
      </c>
      <c r="E12">
        <f t="shared" si="4"/>
        <v>180</v>
      </c>
      <c r="F12">
        <f t="shared" si="5"/>
        <v>225</v>
      </c>
      <c r="G12" s="14">
        <v>100</v>
      </c>
      <c r="H12" s="14">
        <v>100</v>
      </c>
      <c r="I12">
        <f t="shared" si="0"/>
        <v>2.1</v>
      </c>
      <c r="J12">
        <f t="shared" si="1"/>
        <v>2.1</v>
      </c>
      <c r="M12" t="s">
        <v>43</v>
      </c>
      <c r="N12" t="s">
        <v>28</v>
      </c>
      <c r="O12" s="32">
        <v>100.175</v>
      </c>
      <c r="P12">
        <f t="shared" si="6"/>
        <v>360</v>
      </c>
      <c r="Q12">
        <f t="shared" si="7"/>
        <v>380</v>
      </c>
      <c r="R12" s="68">
        <v>100</v>
      </c>
      <c r="S12" s="68">
        <v>100</v>
      </c>
      <c r="T12">
        <f t="shared" si="2"/>
        <v>2.1</v>
      </c>
      <c r="U12">
        <f t="shared" si="3"/>
        <v>2.1</v>
      </c>
      <c r="AA12" s="69" t="s">
        <v>98</v>
      </c>
      <c r="AB12" s="15">
        <v>180</v>
      </c>
      <c r="AC12" s="15">
        <v>180</v>
      </c>
      <c r="AD12" s="15">
        <v>225</v>
      </c>
      <c r="AE12" s="15">
        <v>180</v>
      </c>
    </row>
    <row r="13" spans="1:31" x14ac:dyDescent="0.25">
      <c r="B13" t="s">
        <v>36</v>
      </c>
      <c r="C13" t="s">
        <v>25</v>
      </c>
      <c r="D13">
        <v>46.847000000000001</v>
      </c>
      <c r="E13">
        <f t="shared" si="4"/>
        <v>180</v>
      </c>
      <c r="F13">
        <f t="shared" si="5"/>
        <v>250</v>
      </c>
      <c r="G13" s="14">
        <v>100</v>
      </c>
      <c r="H13" s="14">
        <v>200</v>
      </c>
      <c r="I13">
        <f t="shared" si="0"/>
        <v>1.3</v>
      </c>
      <c r="J13">
        <f t="shared" si="1"/>
        <v>2.6</v>
      </c>
      <c r="M13" t="s">
        <v>44</v>
      </c>
      <c r="N13" t="s">
        <v>28</v>
      </c>
      <c r="O13" s="32">
        <v>46.847000000000001</v>
      </c>
      <c r="P13">
        <f t="shared" si="6"/>
        <v>180</v>
      </c>
      <c r="Q13">
        <f t="shared" si="7"/>
        <v>180</v>
      </c>
      <c r="R13" s="68">
        <v>100</v>
      </c>
      <c r="S13" s="68">
        <v>200</v>
      </c>
      <c r="T13">
        <f t="shared" si="2"/>
        <v>1.3</v>
      </c>
      <c r="U13">
        <f t="shared" si="3"/>
        <v>2.6</v>
      </c>
      <c r="AA13" s="69" t="s">
        <v>44</v>
      </c>
      <c r="AB13" s="15">
        <v>180</v>
      </c>
      <c r="AC13" s="15">
        <v>180</v>
      </c>
      <c r="AD13" s="15">
        <v>200</v>
      </c>
      <c r="AE13" s="15">
        <v>180</v>
      </c>
    </row>
    <row r="14" spans="1:31" x14ac:dyDescent="0.25">
      <c r="B14" t="s">
        <v>37</v>
      </c>
      <c r="C14" t="s">
        <v>25</v>
      </c>
      <c r="D14">
        <v>26.718</v>
      </c>
      <c r="E14">
        <f t="shared" si="4"/>
        <v>180</v>
      </c>
      <c r="F14">
        <f t="shared" si="5"/>
        <v>200</v>
      </c>
      <c r="G14" s="14">
        <v>100</v>
      </c>
      <c r="H14" s="14">
        <v>100</v>
      </c>
      <c r="I14">
        <f t="shared" si="0"/>
        <v>0.65</v>
      </c>
      <c r="J14">
        <f t="shared" si="1"/>
        <v>0.65</v>
      </c>
      <c r="M14" t="s">
        <v>45</v>
      </c>
      <c r="N14" t="s">
        <v>28</v>
      </c>
      <c r="O14" s="32">
        <v>46.847000000000001</v>
      </c>
      <c r="P14">
        <f t="shared" si="6"/>
        <v>180</v>
      </c>
      <c r="Q14">
        <f t="shared" si="7"/>
        <v>180</v>
      </c>
      <c r="R14" s="68">
        <v>100</v>
      </c>
      <c r="S14" s="68">
        <v>200</v>
      </c>
      <c r="T14">
        <f t="shared" si="2"/>
        <v>1.3</v>
      </c>
      <c r="U14">
        <f t="shared" si="3"/>
        <v>2.6</v>
      </c>
      <c r="AA14" s="69" t="s">
        <v>99</v>
      </c>
      <c r="AB14" s="15">
        <v>180</v>
      </c>
      <c r="AC14" s="15">
        <v>180</v>
      </c>
      <c r="AD14" s="15">
        <v>225</v>
      </c>
      <c r="AE14" s="15">
        <v>180</v>
      </c>
    </row>
    <row r="15" spans="1:31" x14ac:dyDescent="0.25">
      <c r="B15" t="s">
        <v>38</v>
      </c>
      <c r="C15" t="s">
        <v>25</v>
      </c>
      <c r="D15">
        <v>46.847000000000001</v>
      </c>
      <c r="E15">
        <f t="shared" si="4"/>
        <v>180</v>
      </c>
      <c r="F15">
        <f t="shared" si="5"/>
        <v>200</v>
      </c>
      <c r="G15" s="14">
        <v>100</v>
      </c>
      <c r="H15" s="14">
        <v>200</v>
      </c>
      <c r="I15">
        <f t="shared" si="0"/>
        <v>1.3</v>
      </c>
      <c r="J15">
        <f t="shared" si="1"/>
        <v>2.6</v>
      </c>
      <c r="M15" t="s">
        <v>46</v>
      </c>
      <c r="N15" t="s">
        <v>28</v>
      </c>
      <c r="O15" s="32">
        <v>100.175</v>
      </c>
      <c r="P15">
        <f t="shared" si="6"/>
        <v>180</v>
      </c>
      <c r="Q15">
        <f t="shared" si="7"/>
        <v>180</v>
      </c>
      <c r="R15" s="68">
        <v>100</v>
      </c>
      <c r="S15" s="68">
        <v>100</v>
      </c>
      <c r="T15">
        <f t="shared" si="2"/>
        <v>2.1</v>
      </c>
      <c r="U15">
        <f t="shared" si="3"/>
        <v>2.1</v>
      </c>
      <c r="AA15" s="69" t="s">
        <v>45</v>
      </c>
      <c r="AB15" s="15">
        <v>180</v>
      </c>
      <c r="AC15" s="15">
        <v>180</v>
      </c>
      <c r="AD15" s="15">
        <v>200</v>
      </c>
      <c r="AE15" s="15">
        <v>180</v>
      </c>
    </row>
    <row r="16" spans="1:31" x14ac:dyDescent="0.25">
      <c r="B16" t="s">
        <v>39</v>
      </c>
      <c r="C16" t="s">
        <v>25</v>
      </c>
      <c r="D16">
        <v>26.718</v>
      </c>
      <c r="E16">
        <f t="shared" si="4"/>
        <v>180</v>
      </c>
      <c r="F16">
        <f t="shared" si="5"/>
        <v>180</v>
      </c>
      <c r="G16" s="14">
        <v>100</v>
      </c>
      <c r="H16" s="14">
        <v>100</v>
      </c>
      <c r="I16">
        <f t="shared" si="0"/>
        <v>0.65</v>
      </c>
      <c r="J16">
        <f t="shared" si="1"/>
        <v>0.65</v>
      </c>
      <c r="M16" t="s">
        <v>47</v>
      </c>
      <c r="N16" t="s">
        <v>28</v>
      </c>
      <c r="O16" s="32">
        <v>46.847000000000001</v>
      </c>
      <c r="P16">
        <f t="shared" si="6"/>
        <v>180</v>
      </c>
      <c r="Q16">
        <f t="shared" si="7"/>
        <v>180</v>
      </c>
      <c r="R16" s="68">
        <v>100</v>
      </c>
      <c r="S16" s="68">
        <v>200</v>
      </c>
      <c r="T16">
        <f t="shared" si="2"/>
        <v>1.3</v>
      </c>
      <c r="U16">
        <f t="shared" si="3"/>
        <v>2.6</v>
      </c>
      <c r="AA16" s="69" t="s">
        <v>101</v>
      </c>
      <c r="AB16" s="15">
        <v>180</v>
      </c>
      <c r="AC16" s="15">
        <v>180</v>
      </c>
      <c r="AD16" s="15">
        <v>225</v>
      </c>
      <c r="AE16" s="15">
        <v>180</v>
      </c>
    </row>
    <row r="17" spans="2:31" x14ac:dyDescent="0.25">
      <c r="B17" t="s">
        <v>40</v>
      </c>
      <c r="C17" t="s">
        <v>25</v>
      </c>
      <c r="D17">
        <v>100.175</v>
      </c>
      <c r="E17">
        <f t="shared" si="4"/>
        <v>180</v>
      </c>
      <c r="F17">
        <f t="shared" si="5"/>
        <v>200</v>
      </c>
      <c r="G17" s="14">
        <v>100</v>
      </c>
      <c r="H17" s="14">
        <v>100</v>
      </c>
      <c r="I17">
        <f t="shared" si="0"/>
        <v>2.1</v>
      </c>
      <c r="J17">
        <f t="shared" si="1"/>
        <v>2.1</v>
      </c>
      <c r="M17" t="s">
        <v>51</v>
      </c>
      <c r="N17" t="s">
        <v>28</v>
      </c>
      <c r="O17" s="32">
        <v>46.847000000000001</v>
      </c>
      <c r="P17">
        <f t="shared" si="6"/>
        <v>180</v>
      </c>
      <c r="Q17" t="str">
        <f t="shared" si="7"/>
        <v>x</v>
      </c>
      <c r="R17" s="68">
        <v>100</v>
      </c>
      <c r="S17" s="68">
        <v>200</v>
      </c>
      <c r="T17">
        <f t="shared" si="2"/>
        <v>1.3</v>
      </c>
      <c r="U17">
        <f t="shared" si="3"/>
        <v>2.6</v>
      </c>
      <c r="AA17" s="69" t="s">
        <v>47</v>
      </c>
      <c r="AB17" s="15">
        <v>180</v>
      </c>
      <c r="AC17" s="15">
        <v>180</v>
      </c>
      <c r="AD17" s="15">
        <v>200</v>
      </c>
      <c r="AE17" s="15">
        <v>180</v>
      </c>
    </row>
    <row r="18" spans="2:31" x14ac:dyDescent="0.25">
      <c r="B18" t="s">
        <v>41</v>
      </c>
      <c r="C18" t="s">
        <v>25</v>
      </c>
      <c r="D18">
        <v>46.847000000000001</v>
      </c>
      <c r="E18">
        <f t="shared" si="4"/>
        <v>180</v>
      </c>
      <c r="F18">
        <f t="shared" si="5"/>
        <v>200</v>
      </c>
      <c r="G18" s="14">
        <v>100</v>
      </c>
      <c r="H18" s="14">
        <v>200</v>
      </c>
      <c r="I18">
        <f t="shared" si="0"/>
        <v>1.3</v>
      </c>
      <c r="J18">
        <f t="shared" si="1"/>
        <v>2.6</v>
      </c>
      <c r="M18" t="s">
        <v>53</v>
      </c>
      <c r="N18" t="s">
        <v>28</v>
      </c>
      <c r="O18" s="32">
        <v>100.175</v>
      </c>
      <c r="P18">
        <f t="shared" si="6"/>
        <v>180</v>
      </c>
      <c r="Q18">
        <f t="shared" si="7"/>
        <v>180</v>
      </c>
      <c r="R18" s="68">
        <v>100</v>
      </c>
      <c r="S18" s="68">
        <v>200</v>
      </c>
      <c r="T18">
        <f t="shared" si="2"/>
        <v>2.1</v>
      </c>
      <c r="U18">
        <f t="shared" si="3"/>
        <v>4.2</v>
      </c>
      <c r="AA18" s="69" t="s">
        <v>102</v>
      </c>
      <c r="AB18" s="15">
        <v>180</v>
      </c>
      <c r="AC18" s="15">
        <v>180</v>
      </c>
      <c r="AD18" s="15">
        <v>225</v>
      </c>
      <c r="AE18" s="15">
        <v>200</v>
      </c>
    </row>
    <row r="19" spans="2:31" x14ac:dyDescent="0.25">
      <c r="B19" t="s">
        <v>42</v>
      </c>
      <c r="C19" t="s">
        <v>25</v>
      </c>
      <c r="D19">
        <v>46.847000000000001</v>
      </c>
      <c r="E19">
        <f t="shared" si="4"/>
        <v>180</v>
      </c>
      <c r="F19">
        <f t="shared" si="5"/>
        <v>200</v>
      </c>
      <c r="G19" s="14">
        <v>100</v>
      </c>
      <c r="H19" s="14">
        <v>200</v>
      </c>
      <c r="I19">
        <f t="shared" si="0"/>
        <v>1.3</v>
      </c>
      <c r="J19">
        <f t="shared" si="1"/>
        <v>2.6</v>
      </c>
      <c r="M19" t="s">
        <v>54</v>
      </c>
      <c r="N19" t="s">
        <v>28</v>
      </c>
      <c r="O19" s="32">
        <v>46.847000000000001</v>
      </c>
      <c r="P19">
        <f t="shared" si="6"/>
        <v>180</v>
      </c>
      <c r="Q19">
        <f t="shared" si="7"/>
        <v>200</v>
      </c>
      <c r="R19" s="68">
        <v>100</v>
      </c>
      <c r="S19" s="68">
        <v>200</v>
      </c>
      <c r="T19">
        <f t="shared" si="2"/>
        <v>1.3</v>
      </c>
      <c r="U19">
        <f t="shared" si="3"/>
        <v>2.6</v>
      </c>
      <c r="AA19" s="69" t="s">
        <v>51</v>
      </c>
      <c r="AB19" s="15">
        <v>180</v>
      </c>
      <c r="AC19" s="15">
        <v>180</v>
      </c>
      <c r="AD19" s="15">
        <v>250</v>
      </c>
      <c r="AE19" s="14" t="s">
        <v>284</v>
      </c>
    </row>
    <row r="20" spans="2:31" x14ac:dyDescent="0.25">
      <c r="B20" t="s">
        <v>43</v>
      </c>
      <c r="C20" t="s">
        <v>25</v>
      </c>
      <c r="D20">
        <v>100.175</v>
      </c>
      <c r="E20">
        <f t="shared" si="4"/>
        <v>180</v>
      </c>
      <c r="F20">
        <f t="shared" si="5"/>
        <v>200</v>
      </c>
      <c r="G20" s="14">
        <v>100</v>
      </c>
      <c r="H20" s="14">
        <v>100</v>
      </c>
      <c r="I20">
        <f t="shared" si="0"/>
        <v>2.1</v>
      </c>
      <c r="J20">
        <f t="shared" si="1"/>
        <v>2.1</v>
      </c>
      <c r="M20" t="s">
        <v>58</v>
      </c>
      <c r="N20" t="s">
        <v>28</v>
      </c>
      <c r="O20" s="32">
        <v>46.847000000000001</v>
      </c>
      <c r="P20">
        <f t="shared" si="6"/>
        <v>180</v>
      </c>
      <c r="Q20">
        <f t="shared" si="7"/>
        <v>200</v>
      </c>
      <c r="R20" s="68">
        <v>100</v>
      </c>
      <c r="S20" s="68">
        <v>200</v>
      </c>
      <c r="T20">
        <f t="shared" si="2"/>
        <v>1.3</v>
      </c>
      <c r="U20">
        <f t="shared" si="3"/>
        <v>2.6</v>
      </c>
      <c r="AA20" s="69" t="s">
        <v>104</v>
      </c>
      <c r="AB20" s="15">
        <v>180</v>
      </c>
      <c r="AC20" s="15">
        <v>180</v>
      </c>
      <c r="AD20" s="15">
        <v>250</v>
      </c>
      <c r="AE20" s="15">
        <v>180</v>
      </c>
    </row>
    <row r="21" spans="2:31" x14ac:dyDescent="0.25">
      <c r="B21" t="s">
        <v>44</v>
      </c>
      <c r="C21" t="s">
        <v>25</v>
      </c>
      <c r="D21">
        <v>46.847000000000001</v>
      </c>
      <c r="E21">
        <f t="shared" si="4"/>
        <v>180</v>
      </c>
      <c r="F21">
        <f t="shared" si="5"/>
        <v>200</v>
      </c>
      <c r="G21" s="14">
        <v>200</v>
      </c>
      <c r="H21" s="67">
        <v>200</v>
      </c>
      <c r="I21">
        <f t="shared" si="0"/>
        <v>2.6</v>
      </c>
      <c r="J21">
        <f t="shared" si="1"/>
        <v>2.6</v>
      </c>
      <c r="M21" t="s">
        <v>60</v>
      </c>
      <c r="N21" t="s">
        <v>28</v>
      </c>
      <c r="O21" s="32">
        <v>100.175</v>
      </c>
      <c r="P21">
        <f t="shared" si="6"/>
        <v>180</v>
      </c>
      <c r="Q21">
        <f t="shared" si="7"/>
        <v>200</v>
      </c>
      <c r="R21" s="68">
        <v>100</v>
      </c>
      <c r="S21" s="68">
        <v>200</v>
      </c>
      <c r="T21">
        <f t="shared" si="2"/>
        <v>2.1</v>
      </c>
      <c r="U21">
        <f t="shared" si="3"/>
        <v>4.2</v>
      </c>
      <c r="AA21" s="69" t="s">
        <v>54</v>
      </c>
      <c r="AB21" s="15">
        <v>540</v>
      </c>
      <c r="AC21" s="15">
        <v>180</v>
      </c>
      <c r="AD21" s="15">
        <v>640</v>
      </c>
      <c r="AE21" s="15">
        <v>200</v>
      </c>
    </row>
    <row r="22" spans="2:31" x14ac:dyDescent="0.25">
      <c r="B22" t="s">
        <v>45</v>
      </c>
      <c r="C22" t="s">
        <v>25</v>
      </c>
      <c r="D22">
        <v>46.847000000000001</v>
      </c>
      <c r="E22">
        <f t="shared" si="4"/>
        <v>180</v>
      </c>
      <c r="F22">
        <f t="shared" si="5"/>
        <v>200</v>
      </c>
      <c r="G22" s="14">
        <v>200</v>
      </c>
      <c r="H22" s="15">
        <v>200</v>
      </c>
      <c r="I22">
        <f t="shared" si="0"/>
        <v>2.6</v>
      </c>
      <c r="J22">
        <f t="shared" si="1"/>
        <v>2.6</v>
      </c>
      <c r="M22" t="s">
        <v>61</v>
      </c>
      <c r="N22" t="s">
        <v>28</v>
      </c>
      <c r="O22" s="32">
        <v>46.847000000000001</v>
      </c>
      <c r="P22">
        <f t="shared" si="6"/>
        <v>180</v>
      </c>
      <c r="Q22">
        <f t="shared" si="7"/>
        <v>200</v>
      </c>
      <c r="R22" s="68">
        <v>100</v>
      </c>
      <c r="S22" s="68">
        <v>200</v>
      </c>
      <c r="T22">
        <f t="shared" si="2"/>
        <v>1.3</v>
      </c>
      <c r="U22">
        <f t="shared" si="3"/>
        <v>2.6</v>
      </c>
      <c r="AA22" s="69" t="s">
        <v>106</v>
      </c>
      <c r="AB22" s="15">
        <v>180</v>
      </c>
      <c r="AC22" s="15">
        <v>180</v>
      </c>
      <c r="AD22" s="15">
        <v>275</v>
      </c>
      <c r="AE22" s="15">
        <v>180</v>
      </c>
    </row>
    <row r="23" spans="2:31" x14ac:dyDescent="0.25">
      <c r="B23" t="s">
        <v>46</v>
      </c>
      <c r="C23" t="s">
        <v>25</v>
      </c>
      <c r="D23">
        <v>100.175</v>
      </c>
      <c r="E23">
        <f t="shared" si="4"/>
        <v>180</v>
      </c>
      <c r="F23">
        <f t="shared" si="5"/>
        <v>200</v>
      </c>
      <c r="G23" s="14">
        <v>200</v>
      </c>
      <c r="H23" s="14">
        <v>200</v>
      </c>
      <c r="I23">
        <f t="shared" si="0"/>
        <v>4.2</v>
      </c>
      <c r="J23">
        <f t="shared" si="1"/>
        <v>4.2</v>
      </c>
      <c r="M23" t="s">
        <v>65</v>
      </c>
      <c r="N23" t="s">
        <v>28</v>
      </c>
      <c r="O23" s="32">
        <v>46.847000000000001</v>
      </c>
      <c r="P23">
        <f t="shared" si="6"/>
        <v>180</v>
      </c>
      <c r="Q23">
        <f t="shared" si="7"/>
        <v>180</v>
      </c>
      <c r="R23" s="68">
        <v>100</v>
      </c>
      <c r="S23" s="68">
        <v>200</v>
      </c>
      <c r="T23">
        <f t="shared" si="2"/>
        <v>1.3</v>
      </c>
      <c r="U23">
        <f t="shared" si="3"/>
        <v>2.6</v>
      </c>
      <c r="AA23" s="69" t="s">
        <v>58</v>
      </c>
      <c r="AB23" s="15">
        <v>540</v>
      </c>
      <c r="AC23" s="15">
        <v>180</v>
      </c>
      <c r="AD23" s="15">
        <v>640</v>
      </c>
      <c r="AE23" s="15">
        <v>200</v>
      </c>
    </row>
    <row r="24" spans="2:31" x14ac:dyDescent="0.25">
      <c r="B24" t="s">
        <v>47</v>
      </c>
      <c r="C24" t="s">
        <v>25</v>
      </c>
      <c r="D24">
        <v>46.847000000000001</v>
      </c>
      <c r="E24">
        <f t="shared" si="4"/>
        <v>180</v>
      </c>
      <c r="F24">
        <f t="shared" si="5"/>
        <v>200</v>
      </c>
      <c r="G24" s="15">
        <v>200</v>
      </c>
      <c r="H24" s="15">
        <v>300</v>
      </c>
      <c r="I24">
        <f t="shared" si="0"/>
        <v>2.6</v>
      </c>
      <c r="J24">
        <f t="shared" si="1"/>
        <v>2.6</v>
      </c>
      <c r="M24" t="s">
        <v>67</v>
      </c>
      <c r="N24" t="s">
        <v>28</v>
      </c>
      <c r="O24" s="32">
        <v>100.175</v>
      </c>
      <c r="P24">
        <f t="shared" si="6"/>
        <v>180</v>
      </c>
      <c r="Q24">
        <f t="shared" si="7"/>
        <v>180</v>
      </c>
      <c r="R24" s="68">
        <v>100</v>
      </c>
      <c r="S24" s="68">
        <v>100</v>
      </c>
      <c r="T24">
        <f t="shared" si="2"/>
        <v>2.1</v>
      </c>
      <c r="U24">
        <f t="shared" si="3"/>
        <v>2.1</v>
      </c>
      <c r="AA24" s="69" t="s">
        <v>109</v>
      </c>
      <c r="AB24" s="15">
        <v>180</v>
      </c>
      <c r="AC24" s="15">
        <v>180</v>
      </c>
      <c r="AD24" s="15">
        <v>275</v>
      </c>
      <c r="AE24" s="15">
        <v>200</v>
      </c>
    </row>
    <row r="25" spans="2:31" x14ac:dyDescent="0.25">
      <c r="B25" t="s">
        <v>48</v>
      </c>
      <c r="C25" t="s">
        <v>25</v>
      </c>
      <c r="D25">
        <v>26.718</v>
      </c>
      <c r="E25">
        <f t="shared" si="4"/>
        <v>180</v>
      </c>
      <c r="F25">
        <f t="shared" si="5"/>
        <v>200</v>
      </c>
      <c r="G25" s="14">
        <v>200</v>
      </c>
      <c r="H25" s="15">
        <v>300</v>
      </c>
      <c r="I25">
        <f t="shared" si="0"/>
        <v>1.3</v>
      </c>
      <c r="J25">
        <f t="shared" si="1"/>
        <v>1.3</v>
      </c>
      <c r="M25" t="s">
        <v>68</v>
      </c>
      <c r="N25" t="s">
        <v>28</v>
      </c>
      <c r="O25" s="32">
        <v>46.847000000000001</v>
      </c>
      <c r="P25">
        <f t="shared" si="6"/>
        <v>180</v>
      </c>
      <c r="Q25">
        <f t="shared" si="7"/>
        <v>180</v>
      </c>
      <c r="R25" s="68">
        <v>100</v>
      </c>
      <c r="S25" s="68">
        <v>200</v>
      </c>
      <c r="T25">
        <f t="shared" si="2"/>
        <v>1.3</v>
      </c>
      <c r="U25">
        <f t="shared" si="3"/>
        <v>2.6</v>
      </c>
      <c r="AA25" s="69" t="s">
        <v>61</v>
      </c>
      <c r="AB25" s="15">
        <v>540</v>
      </c>
      <c r="AC25" s="15">
        <v>180</v>
      </c>
      <c r="AD25" s="15">
        <v>640</v>
      </c>
      <c r="AE25" s="15">
        <v>200</v>
      </c>
    </row>
    <row r="26" spans="2:31" x14ac:dyDescent="0.25">
      <c r="B26" t="s">
        <v>49</v>
      </c>
      <c r="C26" t="s">
        <v>25</v>
      </c>
      <c r="D26">
        <v>46.847000000000001</v>
      </c>
      <c r="E26">
        <f t="shared" si="4"/>
        <v>180</v>
      </c>
      <c r="F26">
        <f t="shared" si="5"/>
        <v>200</v>
      </c>
      <c r="G26" s="14">
        <v>200</v>
      </c>
      <c r="H26" s="14">
        <v>200</v>
      </c>
      <c r="I26">
        <f t="shared" si="0"/>
        <v>2.6</v>
      </c>
      <c r="J26">
        <f t="shared" si="1"/>
        <v>2.6</v>
      </c>
      <c r="M26" t="s">
        <v>71</v>
      </c>
      <c r="N26" t="s">
        <v>28</v>
      </c>
      <c r="O26" s="32">
        <v>46.847000000000001</v>
      </c>
      <c r="P26">
        <f t="shared" si="6"/>
        <v>180</v>
      </c>
      <c r="Q26" t="str">
        <f t="shared" si="7"/>
        <v>x</v>
      </c>
      <c r="R26" s="68">
        <v>100</v>
      </c>
      <c r="S26" s="68">
        <v>100</v>
      </c>
      <c r="T26">
        <f t="shared" si="2"/>
        <v>1.3</v>
      </c>
      <c r="U26">
        <f t="shared" si="3"/>
        <v>1.3</v>
      </c>
      <c r="AA26" s="69" t="s">
        <v>113</v>
      </c>
      <c r="AB26" s="15">
        <v>180</v>
      </c>
      <c r="AC26" s="15">
        <v>180</v>
      </c>
      <c r="AD26" s="15">
        <v>225</v>
      </c>
      <c r="AE26" s="15">
        <v>200</v>
      </c>
    </row>
    <row r="27" spans="2:31" x14ac:dyDescent="0.25">
      <c r="B27" t="s">
        <v>50</v>
      </c>
      <c r="C27" t="s">
        <v>25</v>
      </c>
      <c r="D27">
        <v>53.328000000000003</v>
      </c>
      <c r="E27">
        <f t="shared" si="4"/>
        <v>180</v>
      </c>
      <c r="F27">
        <f t="shared" si="5"/>
        <v>225</v>
      </c>
      <c r="G27" s="14">
        <v>200</v>
      </c>
      <c r="H27" s="14">
        <v>200</v>
      </c>
      <c r="I27">
        <f t="shared" si="0"/>
        <v>2</v>
      </c>
      <c r="J27">
        <f t="shared" si="1"/>
        <v>2</v>
      </c>
      <c r="M27" t="s">
        <v>72</v>
      </c>
      <c r="N27" t="s">
        <v>28</v>
      </c>
      <c r="O27" s="32">
        <v>100.175</v>
      </c>
      <c r="P27">
        <f t="shared" si="6"/>
        <v>180</v>
      </c>
      <c r="Q27">
        <f t="shared" si="7"/>
        <v>180</v>
      </c>
      <c r="R27" s="68">
        <v>100</v>
      </c>
      <c r="S27" s="68">
        <v>100</v>
      </c>
      <c r="T27">
        <f t="shared" si="2"/>
        <v>2.1</v>
      </c>
      <c r="U27">
        <f t="shared" si="3"/>
        <v>2.1</v>
      </c>
      <c r="AA27" s="69" t="s">
        <v>65</v>
      </c>
      <c r="AB27" s="15">
        <v>540</v>
      </c>
      <c r="AC27" s="15">
        <v>180</v>
      </c>
      <c r="AD27" s="15">
        <v>600</v>
      </c>
      <c r="AE27" s="15">
        <v>180</v>
      </c>
    </row>
    <row r="28" spans="2:31" x14ac:dyDescent="0.25">
      <c r="B28" t="s">
        <v>51</v>
      </c>
      <c r="C28" t="s">
        <v>25</v>
      </c>
      <c r="D28">
        <v>46.847000000000001</v>
      </c>
      <c r="E28">
        <f t="shared" si="4"/>
        <v>180</v>
      </c>
      <c r="F28">
        <f t="shared" si="5"/>
        <v>250</v>
      </c>
      <c r="G28" s="15">
        <v>300</v>
      </c>
      <c r="H28" s="15">
        <v>400</v>
      </c>
      <c r="I28">
        <f t="shared" si="0"/>
        <v>2.6</v>
      </c>
      <c r="J28">
        <f t="shared" si="1"/>
        <v>3.9000000000000004</v>
      </c>
      <c r="M28" t="s">
        <v>73</v>
      </c>
      <c r="N28" t="s">
        <v>28</v>
      </c>
      <c r="O28" s="32">
        <v>46.847000000000001</v>
      </c>
      <c r="P28">
        <f t="shared" si="6"/>
        <v>180</v>
      </c>
      <c r="Q28">
        <f t="shared" si="7"/>
        <v>180</v>
      </c>
      <c r="R28" s="68">
        <v>100</v>
      </c>
      <c r="S28" s="68">
        <v>100</v>
      </c>
      <c r="T28">
        <f t="shared" si="2"/>
        <v>1.3</v>
      </c>
      <c r="U28">
        <f t="shared" si="3"/>
        <v>1.3</v>
      </c>
      <c r="AA28" s="69" t="s">
        <v>116</v>
      </c>
      <c r="AB28" s="15">
        <v>180</v>
      </c>
      <c r="AC28" s="15">
        <v>180</v>
      </c>
      <c r="AD28" s="15">
        <v>250</v>
      </c>
      <c r="AE28" s="15">
        <v>200</v>
      </c>
    </row>
    <row r="29" spans="2:31" x14ac:dyDescent="0.25">
      <c r="B29" t="s">
        <v>52</v>
      </c>
      <c r="C29" t="s">
        <v>25</v>
      </c>
      <c r="D29">
        <v>26.718</v>
      </c>
      <c r="E29">
        <f t="shared" si="4"/>
        <v>360</v>
      </c>
      <c r="F29">
        <f t="shared" si="5"/>
        <v>380</v>
      </c>
      <c r="G29" s="15">
        <v>300</v>
      </c>
      <c r="H29" s="15">
        <v>400</v>
      </c>
      <c r="I29">
        <f t="shared" si="0"/>
        <v>1.3</v>
      </c>
      <c r="J29">
        <f t="shared" si="1"/>
        <v>1.9500000000000002</v>
      </c>
      <c r="M29" t="s">
        <v>74</v>
      </c>
      <c r="N29" t="s">
        <v>28</v>
      </c>
      <c r="O29" s="32">
        <v>46.847000000000001</v>
      </c>
      <c r="P29">
        <f t="shared" si="6"/>
        <v>180</v>
      </c>
      <c r="Q29">
        <f t="shared" si="7"/>
        <v>180</v>
      </c>
      <c r="R29" s="68">
        <v>100</v>
      </c>
      <c r="S29" s="68">
        <v>100</v>
      </c>
      <c r="T29">
        <f t="shared" si="2"/>
        <v>1.3</v>
      </c>
      <c r="U29">
        <f t="shared" si="3"/>
        <v>1.3</v>
      </c>
      <c r="AA29" s="69" t="s">
        <v>68</v>
      </c>
      <c r="AB29" s="15">
        <v>540</v>
      </c>
      <c r="AC29" s="15">
        <v>180</v>
      </c>
      <c r="AD29" s="15">
        <v>600</v>
      </c>
      <c r="AE29" s="15">
        <v>180</v>
      </c>
    </row>
    <row r="30" spans="2:31" x14ac:dyDescent="0.25">
      <c r="B30" t="s">
        <v>53</v>
      </c>
      <c r="C30" t="s">
        <v>25</v>
      </c>
      <c r="D30">
        <v>100.175</v>
      </c>
      <c r="E30">
        <f t="shared" si="4"/>
        <v>180</v>
      </c>
      <c r="F30">
        <f t="shared" si="5"/>
        <v>225</v>
      </c>
      <c r="G30" s="14">
        <v>200</v>
      </c>
      <c r="H30" s="15">
        <v>300</v>
      </c>
      <c r="I30">
        <f t="shared" si="0"/>
        <v>4.2</v>
      </c>
      <c r="J30">
        <f t="shared" si="1"/>
        <v>4.2</v>
      </c>
      <c r="M30" t="s">
        <v>75</v>
      </c>
      <c r="N30" t="s">
        <v>28</v>
      </c>
      <c r="O30" s="32">
        <v>46.847000000000001</v>
      </c>
      <c r="P30">
        <f t="shared" si="6"/>
        <v>180</v>
      </c>
      <c r="Q30">
        <f t="shared" si="7"/>
        <v>180</v>
      </c>
      <c r="R30" s="68">
        <v>100</v>
      </c>
      <c r="S30" s="68">
        <v>100</v>
      </c>
      <c r="T30">
        <f t="shared" si="2"/>
        <v>1.3</v>
      </c>
      <c r="U30">
        <f t="shared" si="3"/>
        <v>1.3</v>
      </c>
      <c r="AA30" s="69" t="s">
        <v>120</v>
      </c>
      <c r="AB30" s="15">
        <v>180</v>
      </c>
      <c r="AC30" s="15">
        <v>180</v>
      </c>
      <c r="AD30" s="15">
        <v>225</v>
      </c>
      <c r="AE30" s="15">
        <v>180</v>
      </c>
    </row>
    <row r="31" spans="2:31" x14ac:dyDescent="0.25">
      <c r="B31" t="s">
        <v>54</v>
      </c>
      <c r="C31" t="s">
        <v>25</v>
      </c>
      <c r="D31">
        <v>46.847000000000001</v>
      </c>
      <c r="E31">
        <f t="shared" si="4"/>
        <v>540</v>
      </c>
      <c r="F31">
        <f t="shared" si="5"/>
        <v>640</v>
      </c>
      <c r="G31" s="15">
        <v>400</v>
      </c>
      <c r="H31" s="15">
        <v>600</v>
      </c>
      <c r="I31">
        <f t="shared" si="0"/>
        <v>3.9000000000000004</v>
      </c>
      <c r="J31">
        <f t="shared" si="1"/>
        <v>5.2</v>
      </c>
      <c r="L31" s="13" t="s">
        <v>136</v>
      </c>
      <c r="M31" s="13"/>
      <c r="O31" s="68"/>
      <c r="P31" s="32"/>
      <c r="Q31" s="32"/>
      <c r="R31" s="32"/>
      <c r="S31" s="32"/>
      <c r="T31" s="14">
        <f>SUM(T32:T58)</f>
        <v>54</v>
      </c>
      <c r="U31" s="14">
        <f>SUM(U32:U58)</f>
        <v>64.90000000000002</v>
      </c>
      <c r="AA31" s="69" t="s">
        <v>71</v>
      </c>
      <c r="AB31" s="15">
        <v>180</v>
      </c>
      <c r="AC31" s="15">
        <v>180</v>
      </c>
      <c r="AD31" s="15">
        <v>180</v>
      </c>
      <c r="AE31" s="14" t="s">
        <v>284</v>
      </c>
    </row>
    <row r="32" spans="2:31" x14ac:dyDescent="0.25">
      <c r="B32" t="s">
        <v>55</v>
      </c>
      <c r="C32" t="s">
        <v>25</v>
      </c>
      <c r="D32">
        <v>26.718</v>
      </c>
      <c r="E32">
        <f t="shared" si="4"/>
        <v>360</v>
      </c>
      <c r="F32">
        <f t="shared" si="5"/>
        <v>400</v>
      </c>
      <c r="G32" s="15">
        <v>300</v>
      </c>
      <c r="H32" s="15">
        <v>400</v>
      </c>
      <c r="I32">
        <f t="shared" si="0"/>
        <v>1.3</v>
      </c>
      <c r="J32">
        <f t="shared" si="1"/>
        <v>1.9500000000000002</v>
      </c>
      <c r="L32" s="14"/>
      <c r="M32" s="14" t="s">
        <v>79</v>
      </c>
      <c r="N32" t="s">
        <v>28</v>
      </c>
      <c r="O32" s="68">
        <v>46.847000000000001</v>
      </c>
      <c r="P32">
        <f t="shared" si="6"/>
        <v>180</v>
      </c>
      <c r="Q32">
        <f t="shared" si="7"/>
        <v>300</v>
      </c>
      <c r="R32" s="68">
        <v>200</v>
      </c>
      <c r="S32" s="68">
        <v>200</v>
      </c>
      <c r="T32">
        <f>ROUNDUP(R32/150,0)*VLOOKUP(O32,$X$2:$Y$6,2)</f>
        <v>2.6</v>
      </c>
      <c r="U32">
        <f>ROUNDUP(S32/150,0)*VLOOKUP(O32,$X$2:$Y$6,2)</f>
        <v>2.6</v>
      </c>
      <c r="AA32" s="69" t="s">
        <v>123</v>
      </c>
      <c r="AB32" s="15">
        <v>180</v>
      </c>
      <c r="AC32" s="15">
        <v>180</v>
      </c>
      <c r="AD32" s="15">
        <v>180</v>
      </c>
      <c r="AE32" s="15">
        <v>180</v>
      </c>
    </row>
    <row r="33" spans="2:31" x14ac:dyDescent="0.25">
      <c r="B33" t="s">
        <v>56</v>
      </c>
      <c r="C33" t="s">
        <v>25</v>
      </c>
      <c r="D33">
        <v>46.847000000000001</v>
      </c>
      <c r="E33">
        <f t="shared" si="4"/>
        <v>180</v>
      </c>
      <c r="F33">
        <f t="shared" si="5"/>
        <v>250</v>
      </c>
      <c r="G33" s="15">
        <v>300</v>
      </c>
      <c r="H33" s="15">
        <v>300</v>
      </c>
      <c r="I33">
        <f t="shared" si="0"/>
        <v>2.6</v>
      </c>
      <c r="J33">
        <f t="shared" si="1"/>
        <v>2.6</v>
      </c>
      <c r="L33" s="14"/>
      <c r="M33" s="14" t="s">
        <v>83</v>
      </c>
      <c r="N33" t="s">
        <v>28</v>
      </c>
      <c r="O33" s="68">
        <v>53.328000000000003</v>
      </c>
      <c r="P33">
        <f t="shared" si="6"/>
        <v>180</v>
      </c>
      <c r="Q33">
        <f t="shared" si="7"/>
        <v>250</v>
      </c>
      <c r="R33" s="68">
        <v>100</v>
      </c>
      <c r="S33" s="68">
        <v>200</v>
      </c>
      <c r="T33">
        <f t="shared" ref="T33:T58" si="8">ROUNDUP(R33/150,0)*VLOOKUP(O33,$X$2:$Y$6,2)</f>
        <v>1</v>
      </c>
      <c r="U33">
        <f t="shared" ref="U33:U58" si="9">ROUNDUP(S33/150,0)*VLOOKUP(O33,$X$2:$Y$6,2)</f>
        <v>2</v>
      </c>
      <c r="AA33" s="69" t="s">
        <v>73</v>
      </c>
      <c r="AB33" s="15">
        <v>180</v>
      </c>
      <c r="AC33" s="15">
        <v>180</v>
      </c>
      <c r="AD33" s="15">
        <v>180</v>
      </c>
      <c r="AE33" s="15">
        <v>180</v>
      </c>
    </row>
    <row r="34" spans="2:31" x14ac:dyDescent="0.25">
      <c r="B34" t="s">
        <v>57</v>
      </c>
      <c r="C34" t="s">
        <v>25</v>
      </c>
      <c r="D34">
        <v>53.328000000000003</v>
      </c>
      <c r="E34">
        <f t="shared" si="4"/>
        <v>180</v>
      </c>
      <c r="F34">
        <f t="shared" si="5"/>
        <v>200</v>
      </c>
      <c r="G34" s="14">
        <v>200</v>
      </c>
      <c r="H34" s="14">
        <v>200</v>
      </c>
      <c r="I34">
        <f t="shared" si="0"/>
        <v>2</v>
      </c>
      <c r="J34">
        <f t="shared" si="1"/>
        <v>2</v>
      </c>
      <c r="L34" s="14"/>
      <c r="M34" s="14" t="s">
        <v>84</v>
      </c>
      <c r="N34" t="s">
        <v>28</v>
      </c>
      <c r="O34" s="68">
        <v>46.847000000000001</v>
      </c>
      <c r="P34">
        <f t="shared" si="6"/>
        <v>180</v>
      </c>
      <c r="Q34">
        <f t="shared" si="7"/>
        <v>300</v>
      </c>
      <c r="R34" s="68">
        <v>200</v>
      </c>
      <c r="S34" s="68">
        <v>200</v>
      </c>
      <c r="T34">
        <f t="shared" si="8"/>
        <v>2.6</v>
      </c>
      <c r="U34">
        <f t="shared" si="9"/>
        <v>2.6</v>
      </c>
      <c r="AA34" s="69" t="s">
        <v>127</v>
      </c>
      <c r="AB34" s="14" t="s">
        <v>284</v>
      </c>
      <c r="AC34" s="15">
        <v>180</v>
      </c>
      <c r="AD34" s="14" t="s">
        <v>284</v>
      </c>
      <c r="AE34" s="15">
        <v>180</v>
      </c>
    </row>
    <row r="35" spans="2:31" x14ac:dyDescent="0.25">
      <c r="B35" t="s">
        <v>58</v>
      </c>
      <c r="C35" t="s">
        <v>25</v>
      </c>
      <c r="D35">
        <v>46.847000000000001</v>
      </c>
      <c r="E35">
        <f t="shared" si="4"/>
        <v>540</v>
      </c>
      <c r="F35">
        <f t="shared" si="5"/>
        <v>640</v>
      </c>
      <c r="G35" s="15">
        <v>600</v>
      </c>
      <c r="H35" s="15">
        <v>600</v>
      </c>
      <c r="I35">
        <f t="shared" si="0"/>
        <v>5.2</v>
      </c>
      <c r="J35">
        <f t="shared" si="1"/>
        <v>5.2</v>
      </c>
      <c r="L35" s="14"/>
      <c r="M35" s="14" t="s">
        <v>88</v>
      </c>
      <c r="N35" t="s">
        <v>28</v>
      </c>
      <c r="O35" s="68">
        <v>46.847000000000001</v>
      </c>
      <c r="P35">
        <f t="shared" si="6"/>
        <v>180</v>
      </c>
      <c r="Q35">
        <f t="shared" si="7"/>
        <v>250</v>
      </c>
      <c r="R35" s="68">
        <v>200</v>
      </c>
      <c r="S35" s="68">
        <v>200</v>
      </c>
      <c r="T35">
        <f t="shared" si="8"/>
        <v>2.6</v>
      </c>
      <c r="U35">
        <f t="shared" si="9"/>
        <v>2.6</v>
      </c>
      <c r="AA35" s="69" t="s">
        <v>74</v>
      </c>
      <c r="AB35" s="15">
        <v>180</v>
      </c>
      <c r="AC35" s="15">
        <v>180</v>
      </c>
      <c r="AD35" s="15">
        <v>180</v>
      </c>
      <c r="AE35" s="15">
        <v>180</v>
      </c>
    </row>
    <row r="36" spans="2:31" x14ac:dyDescent="0.25">
      <c r="B36" t="s">
        <v>59</v>
      </c>
      <c r="C36" t="s">
        <v>25</v>
      </c>
      <c r="D36">
        <v>26.718</v>
      </c>
      <c r="E36">
        <f t="shared" si="4"/>
        <v>360</v>
      </c>
      <c r="F36">
        <f t="shared" si="5"/>
        <v>400</v>
      </c>
      <c r="G36" s="15">
        <v>300</v>
      </c>
      <c r="H36" s="15">
        <v>400</v>
      </c>
      <c r="I36">
        <f t="shared" ref="I36:I52" si="10">ROUNDUP(G36/150,0)*VLOOKUP(D36,$X$2:$Y$6,2)</f>
        <v>1.3</v>
      </c>
      <c r="J36">
        <f t="shared" ref="J36:J52" si="11">ROUNDUP(H36/150,0)*VLOOKUP(D36,$X$2:$Y$6,2)</f>
        <v>1.9500000000000002</v>
      </c>
      <c r="L36" s="14"/>
      <c r="M36" s="14" t="s">
        <v>89</v>
      </c>
      <c r="N36" t="s">
        <v>28</v>
      </c>
      <c r="O36" s="68">
        <v>100.175</v>
      </c>
      <c r="P36">
        <f t="shared" si="6"/>
        <v>180</v>
      </c>
      <c r="Q36">
        <f t="shared" si="7"/>
        <v>200</v>
      </c>
      <c r="R36" s="68">
        <v>200</v>
      </c>
      <c r="S36" s="68">
        <v>200</v>
      </c>
      <c r="T36">
        <f t="shared" si="8"/>
        <v>4.2</v>
      </c>
      <c r="U36">
        <f t="shared" si="9"/>
        <v>4.2</v>
      </c>
      <c r="AA36" s="69" t="s">
        <v>75</v>
      </c>
      <c r="AB36" s="15">
        <v>180</v>
      </c>
      <c r="AC36" s="15">
        <v>180</v>
      </c>
      <c r="AD36" s="15">
        <v>225</v>
      </c>
      <c r="AE36" s="15">
        <v>180</v>
      </c>
    </row>
    <row r="37" spans="2:31" x14ac:dyDescent="0.25">
      <c r="B37" t="s">
        <v>60</v>
      </c>
      <c r="C37" t="s">
        <v>25</v>
      </c>
      <c r="D37">
        <v>100.175</v>
      </c>
      <c r="E37">
        <f t="shared" si="4"/>
        <v>360</v>
      </c>
      <c r="F37">
        <f t="shared" si="5"/>
        <v>400</v>
      </c>
      <c r="G37" s="15">
        <v>300</v>
      </c>
      <c r="H37" s="15">
        <v>300</v>
      </c>
      <c r="I37">
        <f t="shared" si="10"/>
        <v>4.2</v>
      </c>
      <c r="J37">
        <f t="shared" si="11"/>
        <v>4.2</v>
      </c>
      <c r="L37" s="14"/>
      <c r="M37" s="14" t="s">
        <v>91</v>
      </c>
      <c r="N37" t="s">
        <v>28</v>
      </c>
      <c r="O37" s="68">
        <v>46.847000000000001</v>
      </c>
      <c r="P37">
        <f t="shared" si="6"/>
        <v>180</v>
      </c>
      <c r="Q37">
        <f t="shared" si="7"/>
        <v>300</v>
      </c>
      <c r="R37" s="68">
        <v>200</v>
      </c>
      <c r="S37" s="68">
        <v>200</v>
      </c>
      <c r="T37">
        <f t="shared" si="8"/>
        <v>2.6</v>
      </c>
      <c r="U37">
        <f t="shared" si="9"/>
        <v>2.6</v>
      </c>
      <c r="AA37" s="69" t="s">
        <v>130</v>
      </c>
      <c r="AB37" s="15">
        <v>180</v>
      </c>
      <c r="AC37" s="15">
        <v>180</v>
      </c>
      <c r="AD37" s="15">
        <v>180</v>
      </c>
      <c r="AE37" s="15">
        <v>180</v>
      </c>
    </row>
    <row r="38" spans="2:31" x14ac:dyDescent="0.25">
      <c r="B38" t="s">
        <v>61</v>
      </c>
      <c r="C38" t="s">
        <v>25</v>
      </c>
      <c r="D38">
        <v>46.847000000000001</v>
      </c>
      <c r="E38">
        <f t="shared" si="4"/>
        <v>540</v>
      </c>
      <c r="F38">
        <f t="shared" si="5"/>
        <v>640</v>
      </c>
      <c r="G38" s="15">
        <v>400</v>
      </c>
      <c r="H38" s="15">
        <v>600</v>
      </c>
      <c r="I38">
        <f t="shared" si="10"/>
        <v>3.9000000000000004</v>
      </c>
      <c r="J38">
        <f t="shared" si="11"/>
        <v>5.2</v>
      </c>
      <c r="L38" s="14"/>
      <c r="M38" s="14" t="s">
        <v>95</v>
      </c>
      <c r="N38" t="s">
        <v>28</v>
      </c>
      <c r="O38" s="68">
        <v>46.847000000000001</v>
      </c>
      <c r="P38">
        <f t="shared" si="6"/>
        <v>180</v>
      </c>
      <c r="Q38">
        <f t="shared" si="7"/>
        <v>200</v>
      </c>
      <c r="R38" s="68">
        <v>100</v>
      </c>
      <c r="S38" s="68">
        <v>100</v>
      </c>
      <c r="T38">
        <f t="shared" si="8"/>
        <v>1.3</v>
      </c>
      <c r="U38">
        <f t="shared" si="9"/>
        <v>1.3</v>
      </c>
      <c r="AA38" s="69" t="s">
        <v>80</v>
      </c>
      <c r="AB38" s="15">
        <v>200</v>
      </c>
      <c r="AC38" s="14" t="s">
        <v>284</v>
      </c>
      <c r="AD38" s="15">
        <v>400</v>
      </c>
      <c r="AE38" s="14" t="s">
        <v>284</v>
      </c>
    </row>
    <row r="39" spans="2:31" x14ac:dyDescent="0.25">
      <c r="B39" t="s">
        <v>62</v>
      </c>
      <c r="C39" t="s">
        <v>25</v>
      </c>
      <c r="D39">
        <v>26.718</v>
      </c>
      <c r="E39">
        <f t="shared" si="4"/>
        <v>360</v>
      </c>
      <c r="F39">
        <f t="shared" si="5"/>
        <v>400</v>
      </c>
      <c r="G39" s="15">
        <v>300</v>
      </c>
      <c r="H39" s="15">
        <v>300</v>
      </c>
      <c r="I39">
        <f t="shared" si="10"/>
        <v>1.3</v>
      </c>
      <c r="J39">
        <f t="shared" si="11"/>
        <v>1.3</v>
      </c>
      <c r="L39" s="14"/>
      <c r="M39" s="14" t="s">
        <v>96</v>
      </c>
      <c r="N39" t="s">
        <v>28</v>
      </c>
      <c r="O39" s="68">
        <v>100.175</v>
      </c>
      <c r="P39">
        <f t="shared" si="6"/>
        <v>180</v>
      </c>
      <c r="Q39">
        <f t="shared" si="7"/>
        <v>200</v>
      </c>
      <c r="R39" s="68">
        <v>100</v>
      </c>
      <c r="S39" s="68">
        <v>100</v>
      </c>
      <c r="T39">
        <f t="shared" si="8"/>
        <v>2.1</v>
      </c>
      <c r="U39">
        <f t="shared" si="9"/>
        <v>2.1</v>
      </c>
      <c r="AA39" s="69" t="s">
        <v>26</v>
      </c>
      <c r="AB39" s="15">
        <v>180</v>
      </c>
      <c r="AC39" s="14" t="s">
        <v>284</v>
      </c>
      <c r="AD39" s="15">
        <v>180</v>
      </c>
      <c r="AE39" s="14" t="s">
        <v>284</v>
      </c>
    </row>
    <row r="40" spans="2:31" x14ac:dyDescent="0.25">
      <c r="B40" t="s">
        <v>63</v>
      </c>
      <c r="C40" t="s">
        <v>25</v>
      </c>
      <c r="D40">
        <v>46.847000000000001</v>
      </c>
      <c r="E40">
        <f t="shared" si="4"/>
        <v>180</v>
      </c>
      <c r="F40">
        <f t="shared" si="5"/>
        <v>200</v>
      </c>
      <c r="G40" s="14">
        <v>200</v>
      </c>
      <c r="H40" s="15">
        <v>300</v>
      </c>
      <c r="I40">
        <f t="shared" si="10"/>
        <v>2.6</v>
      </c>
      <c r="J40">
        <f t="shared" si="11"/>
        <v>2.6</v>
      </c>
      <c r="L40" s="14"/>
      <c r="M40" s="14" t="s">
        <v>98</v>
      </c>
      <c r="N40" t="s">
        <v>28</v>
      </c>
      <c r="O40" s="68">
        <v>46.847000000000001</v>
      </c>
      <c r="P40">
        <f t="shared" si="6"/>
        <v>180</v>
      </c>
      <c r="Q40">
        <f t="shared" si="7"/>
        <v>180</v>
      </c>
      <c r="R40" s="68">
        <v>100</v>
      </c>
      <c r="S40" s="68">
        <v>100</v>
      </c>
      <c r="T40">
        <f t="shared" si="8"/>
        <v>1.3</v>
      </c>
      <c r="U40">
        <f t="shared" si="9"/>
        <v>1.3</v>
      </c>
      <c r="AA40" s="69" t="s">
        <v>82</v>
      </c>
      <c r="AB40" s="15">
        <v>360</v>
      </c>
      <c r="AC40" s="14" t="s">
        <v>284</v>
      </c>
      <c r="AD40" s="15">
        <v>550</v>
      </c>
      <c r="AE40" s="14" t="s">
        <v>284</v>
      </c>
    </row>
    <row r="41" spans="2:31" x14ac:dyDescent="0.25">
      <c r="B41" t="s">
        <v>64</v>
      </c>
      <c r="C41" t="s">
        <v>25</v>
      </c>
      <c r="D41">
        <v>53.328000000000003</v>
      </c>
      <c r="E41">
        <f t="shared" si="4"/>
        <v>180</v>
      </c>
      <c r="F41">
        <f t="shared" si="5"/>
        <v>200</v>
      </c>
      <c r="G41" s="14">
        <v>200</v>
      </c>
      <c r="H41" s="14">
        <v>200</v>
      </c>
      <c r="I41">
        <f t="shared" si="10"/>
        <v>2</v>
      </c>
      <c r="J41">
        <f t="shared" si="11"/>
        <v>2</v>
      </c>
      <c r="L41" s="14"/>
      <c r="M41" s="14" t="s">
        <v>99</v>
      </c>
      <c r="N41" t="s">
        <v>28</v>
      </c>
      <c r="O41" s="68">
        <v>46.847000000000001</v>
      </c>
      <c r="P41">
        <f t="shared" si="6"/>
        <v>180</v>
      </c>
      <c r="Q41">
        <f t="shared" si="7"/>
        <v>180</v>
      </c>
      <c r="R41" s="68">
        <v>100</v>
      </c>
      <c r="S41" s="68">
        <v>100</v>
      </c>
      <c r="T41">
        <f t="shared" si="8"/>
        <v>1.3</v>
      </c>
      <c r="U41">
        <f t="shared" si="9"/>
        <v>1.3</v>
      </c>
      <c r="AA41" s="69" t="s">
        <v>30</v>
      </c>
      <c r="AB41" s="15">
        <v>180</v>
      </c>
      <c r="AC41" s="14" t="s">
        <v>284</v>
      </c>
      <c r="AD41" s="15">
        <v>180</v>
      </c>
      <c r="AE41" s="14" t="s">
        <v>284</v>
      </c>
    </row>
    <row r="42" spans="2:31" x14ac:dyDescent="0.25">
      <c r="B42" t="s">
        <v>65</v>
      </c>
      <c r="C42" t="s">
        <v>25</v>
      </c>
      <c r="D42">
        <v>46.847000000000001</v>
      </c>
      <c r="E42">
        <f t="shared" si="4"/>
        <v>540</v>
      </c>
      <c r="F42">
        <f t="shared" si="5"/>
        <v>600</v>
      </c>
      <c r="G42" s="15">
        <v>400</v>
      </c>
      <c r="H42" s="15">
        <v>500</v>
      </c>
      <c r="I42">
        <f t="shared" si="10"/>
        <v>3.9000000000000004</v>
      </c>
      <c r="J42">
        <f t="shared" si="11"/>
        <v>5.2</v>
      </c>
      <c r="L42" s="14"/>
      <c r="M42" s="14" t="s">
        <v>100</v>
      </c>
      <c r="N42" t="s">
        <v>28</v>
      </c>
      <c r="O42" s="68">
        <v>100.175</v>
      </c>
      <c r="P42">
        <f t="shared" si="6"/>
        <v>180</v>
      </c>
      <c r="Q42">
        <f t="shared" si="7"/>
        <v>180</v>
      </c>
      <c r="R42" s="68">
        <v>100</v>
      </c>
      <c r="S42" s="68">
        <v>100</v>
      </c>
      <c r="T42">
        <f t="shared" si="8"/>
        <v>2.1</v>
      </c>
      <c r="U42">
        <f t="shared" si="9"/>
        <v>2.1</v>
      </c>
      <c r="AA42" s="69" t="s">
        <v>87</v>
      </c>
      <c r="AB42" s="15">
        <v>360</v>
      </c>
      <c r="AC42" s="14" t="s">
        <v>284</v>
      </c>
      <c r="AD42" s="15">
        <v>580</v>
      </c>
      <c r="AE42" s="14" t="s">
        <v>284</v>
      </c>
    </row>
    <row r="43" spans="2:31" x14ac:dyDescent="0.25">
      <c r="B43" t="s">
        <v>66</v>
      </c>
      <c r="C43" t="s">
        <v>25</v>
      </c>
      <c r="D43">
        <v>26.718</v>
      </c>
      <c r="E43">
        <f t="shared" si="4"/>
        <v>360</v>
      </c>
      <c r="F43">
        <f t="shared" si="5"/>
        <v>400</v>
      </c>
      <c r="G43" s="14">
        <v>200</v>
      </c>
      <c r="H43" s="14">
        <v>200</v>
      </c>
      <c r="I43">
        <f t="shared" si="10"/>
        <v>1.3</v>
      </c>
      <c r="J43">
        <f t="shared" si="11"/>
        <v>1.3</v>
      </c>
      <c r="L43" s="14"/>
      <c r="M43" s="14" t="s">
        <v>101</v>
      </c>
      <c r="N43" t="s">
        <v>28</v>
      </c>
      <c r="O43" s="68">
        <v>46.847000000000001</v>
      </c>
      <c r="P43">
        <f t="shared" si="6"/>
        <v>180</v>
      </c>
      <c r="Q43">
        <f t="shared" si="7"/>
        <v>180</v>
      </c>
      <c r="R43" s="68">
        <v>100</v>
      </c>
      <c r="S43" s="68">
        <v>200</v>
      </c>
      <c r="T43">
        <f t="shared" si="8"/>
        <v>1.3</v>
      </c>
      <c r="U43">
        <f t="shared" si="9"/>
        <v>2.6</v>
      </c>
      <c r="AA43" s="69" t="s">
        <v>34</v>
      </c>
      <c r="AB43" s="15">
        <v>180</v>
      </c>
      <c r="AC43" s="14" t="s">
        <v>284</v>
      </c>
      <c r="AD43" s="15">
        <v>180</v>
      </c>
      <c r="AE43" s="14" t="s">
        <v>284</v>
      </c>
    </row>
    <row r="44" spans="2:31" x14ac:dyDescent="0.25">
      <c r="B44" t="s">
        <v>67</v>
      </c>
      <c r="C44" t="s">
        <v>25</v>
      </c>
      <c r="D44">
        <v>100.175</v>
      </c>
      <c r="E44">
        <f t="shared" si="4"/>
        <v>180</v>
      </c>
      <c r="F44">
        <f t="shared" si="5"/>
        <v>200</v>
      </c>
      <c r="G44" s="14">
        <v>100</v>
      </c>
      <c r="H44" s="14">
        <v>200</v>
      </c>
      <c r="I44">
        <f t="shared" si="10"/>
        <v>2.1</v>
      </c>
      <c r="J44">
        <f t="shared" si="11"/>
        <v>4.2</v>
      </c>
      <c r="L44" s="14"/>
      <c r="M44" s="14" t="s">
        <v>102</v>
      </c>
      <c r="N44" t="s">
        <v>28</v>
      </c>
      <c r="O44" s="68">
        <v>46.847000000000001</v>
      </c>
      <c r="P44">
        <f t="shared" si="6"/>
        <v>180</v>
      </c>
      <c r="Q44">
        <f t="shared" si="7"/>
        <v>200</v>
      </c>
      <c r="R44" s="68">
        <v>100</v>
      </c>
      <c r="S44" s="68">
        <v>200</v>
      </c>
      <c r="T44">
        <f t="shared" si="8"/>
        <v>1.3</v>
      </c>
      <c r="U44">
        <f t="shared" si="9"/>
        <v>2.6</v>
      </c>
      <c r="AA44" s="69" t="s">
        <v>90</v>
      </c>
      <c r="AB44" s="15">
        <v>540</v>
      </c>
      <c r="AC44" s="14" t="s">
        <v>284</v>
      </c>
      <c r="AD44" s="15">
        <v>600</v>
      </c>
      <c r="AE44" s="14" t="s">
        <v>284</v>
      </c>
    </row>
    <row r="45" spans="2:31" x14ac:dyDescent="0.25">
      <c r="B45" t="s">
        <v>68</v>
      </c>
      <c r="C45" t="s">
        <v>25</v>
      </c>
      <c r="D45">
        <v>46.847000000000001</v>
      </c>
      <c r="E45">
        <f t="shared" si="4"/>
        <v>540</v>
      </c>
      <c r="F45">
        <f t="shared" si="5"/>
        <v>600</v>
      </c>
      <c r="G45" s="14">
        <v>200</v>
      </c>
      <c r="H45" s="15">
        <v>300</v>
      </c>
      <c r="I45">
        <f t="shared" si="10"/>
        <v>2.6</v>
      </c>
      <c r="J45">
        <f t="shared" si="11"/>
        <v>2.6</v>
      </c>
      <c r="L45" s="14"/>
      <c r="M45" s="14" t="s">
        <v>103</v>
      </c>
      <c r="N45" t="s">
        <v>28</v>
      </c>
      <c r="O45" s="68">
        <v>100.175</v>
      </c>
      <c r="P45">
        <f t="shared" si="6"/>
        <v>180</v>
      </c>
      <c r="Q45">
        <f t="shared" si="7"/>
        <v>200</v>
      </c>
      <c r="R45" s="68">
        <v>100</v>
      </c>
      <c r="S45" s="68">
        <v>100</v>
      </c>
      <c r="T45">
        <f t="shared" si="8"/>
        <v>2.1</v>
      </c>
      <c r="U45">
        <f t="shared" si="9"/>
        <v>2.1</v>
      </c>
      <c r="AA45" s="69" t="s">
        <v>37</v>
      </c>
      <c r="AB45" s="15">
        <v>180</v>
      </c>
      <c r="AC45" s="14" t="s">
        <v>284</v>
      </c>
      <c r="AD45" s="15">
        <v>200</v>
      </c>
      <c r="AE45" s="14" t="s">
        <v>284</v>
      </c>
    </row>
    <row r="46" spans="2:31" x14ac:dyDescent="0.25">
      <c r="B46" t="s">
        <v>69</v>
      </c>
      <c r="C46" t="s">
        <v>25</v>
      </c>
      <c r="D46">
        <v>26.718</v>
      </c>
      <c r="E46">
        <f t="shared" si="4"/>
        <v>180</v>
      </c>
      <c r="F46">
        <f t="shared" si="5"/>
        <v>200</v>
      </c>
      <c r="G46" s="14">
        <v>100</v>
      </c>
      <c r="H46" s="14">
        <v>200</v>
      </c>
      <c r="I46">
        <f t="shared" si="10"/>
        <v>0.65</v>
      </c>
      <c r="J46">
        <f t="shared" si="11"/>
        <v>1.3</v>
      </c>
      <c r="L46" s="14"/>
      <c r="M46" s="14" t="s">
        <v>104</v>
      </c>
      <c r="N46" t="s">
        <v>28</v>
      </c>
      <c r="O46" s="68">
        <v>46.847000000000001</v>
      </c>
      <c r="P46">
        <f t="shared" si="6"/>
        <v>180</v>
      </c>
      <c r="Q46">
        <f t="shared" si="7"/>
        <v>180</v>
      </c>
      <c r="R46" s="68">
        <v>100</v>
      </c>
      <c r="S46" s="68">
        <v>200</v>
      </c>
      <c r="T46">
        <f t="shared" si="8"/>
        <v>1.3</v>
      </c>
      <c r="U46">
        <f t="shared" si="9"/>
        <v>2.6</v>
      </c>
      <c r="AA46" s="69" t="s">
        <v>94</v>
      </c>
      <c r="AB46" s="15">
        <v>180</v>
      </c>
      <c r="AC46" s="14" t="s">
        <v>284</v>
      </c>
      <c r="AD46" s="15">
        <v>250</v>
      </c>
      <c r="AE46" s="14" t="s">
        <v>284</v>
      </c>
    </row>
    <row r="47" spans="2:31" x14ac:dyDescent="0.25">
      <c r="B47" t="s">
        <v>70</v>
      </c>
      <c r="C47" t="s">
        <v>25</v>
      </c>
      <c r="D47">
        <v>46.847000000000001</v>
      </c>
      <c r="E47">
        <f t="shared" si="4"/>
        <v>180</v>
      </c>
      <c r="F47">
        <f t="shared" si="5"/>
        <v>180</v>
      </c>
      <c r="G47" s="14">
        <v>200</v>
      </c>
      <c r="H47" s="14">
        <v>200</v>
      </c>
      <c r="I47">
        <f t="shared" si="10"/>
        <v>2.6</v>
      </c>
      <c r="J47">
        <f t="shared" si="11"/>
        <v>2.6</v>
      </c>
      <c r="L47" s="14"/>
      <c r="M47" s="14" t="s">
        <v>106</v>
      </c>
      <c r="N47" t="s">
        <v>28</v>
      </c>
      <c r="O47" s="68">
        <v>46.847000000000001</v>
      </c>
      <c r="P47">
        <f t="shared" si="6"/>
        <v>180</v>
      </c>
      <c r="Q47">
        <f t="shared" si="7"/>
        <v>180</v>
      </c>
      <c r="R47" s="68">
        <v>100</v>
      </c>
      <c r="S47" s="68">
        <v>200</v>
      </c>
      <c r="T47">
        <f t="shared" si="8"/>
        <v>1.3</v>
      </c>
      <c r="U47">
        <f t="shared" si="9"/>
        <v>2.6</v>
      </c>
      <c r="AA47" s="69" t="s">
        <v>39</v>
      </c>
      <c r="AB47" s="15">
        <v>180</v>
      </c>
      <c r="AC47" s="14" t="s">
        <v>284</v>
      </c>
      <c r="AD47" s="15">
        <v>180</v>
      </c>
      <c r="AE47" s="14" t="s">
        <v>284</v>
      </c>
    </row>
    <row r="48" spans="2:31" x14ac:dyDescent="0.25">
      <c r="B48" t="s">
        <v>71</v>
      </c>
      <c r="C48" t="s">
        <v>25</v>
      </c>
      <c r="D48">
        <v>46.847000000000001</v>
      </c>
      <c r="E48">
        <f t="shared" si="4"/>
        <v>180</v>
      </c>
      <c r="F48">
        <f t="shared" si="5"/>
        <v>180</v>
      </c>
      <c r="G48" s="14">
        <v>200</v>
      </c>
      <c r="H48" s="15">
        <v>200</v>
      </c>
      <c r="I48">
        <f t="shared" si="10"/>
        <v>2.6</v>
      </c>
      <c r="J48">
        <f t="shared" si="11"/>
        <v>2.6</v>
      </c>
      <c r="L48" s="14"/>
      <c r="M48" s="14" t="s">
        <v>107</v>
      </c>
      <c r="N48" t="s">
        <v>28</v>
      </c>
      <c r="O48" s="68">
        <v>100.175</v>
      </c>
      <c r="P48">
        <f t="shared" si="6"/>
        <v>180</v>
      </c>
      <c r="Q48">
        <f t="shared" si="7"/>
        <v>200</v>
      </c>
      <c r="R48" s="68">
        <v>100</v>
      </c>
      <c r="S48" s="68">
        <v>200</v>
      </c>
      <c r="T48">
        <f t="shared" si="8"/>
        <v>2.1</v>
      </c>
      <c r="U48">
        <f t="shared" si="9"/>
        <v>4.2</v>
      </c>
      <c r="AA48" s="69" t="s">
        <v>97</v>
      </c>
      <c r="AB48" s="15">
        <v>180</v>
      </c>
      <c r="AC48" s="14" t="s">
        <v>284</v>
      </c>
      <c r="AD48" s="15">
        <v>225</v>
      </c>
      <c r="AE48" s="14" t="s">
        <v>284</v>
      </c>
    </row>
    <row r="49" spans="1:31" x14ac:dyDescent="0.25">
      <c r="B49" t="s">
        <v>72</v>
      </c>
      <c r="C49" t="s">
        <v>25</v>
      </c>
      <c r="D49">
        <v>100.175</v>
      </c>
      <c r="E49">
        <f t="shared" si="4"/>
        <v>180</v>
      </c>
      <c r="F49">
        <f t="shared" si="5"/>
        <v>180</v>
      </c>
      <c r="G49" s="14">
        <v>100</v>
      </c>
      <c r="H49" s="14">
        <v>100</v>
      </c>
      <c r="I49">
        <f t="shared" si="10"/>
        <v>2.1</v>
      </c>
      <c r="J49">
        <f t="shared" si="11"/>
        <v>2.1</v>
      </c>
      <c r="L49" s="14"/>
      <c r="M49" s="14" t="s">
        <v>109</v>
      </c>
      <c r="N49" t="s">
        <v>28</v>
      </c>
      <c r="O49" s="68">
        <v>46.847000000000001</v>
      </c>
      <c r="P49">
        <f t="shared" si="6"/>
        <v>180</v>
      </c>
      <c r="Q49">
        <f t="shared" si="7"/>
        <v>200</v>
      </c>
      <c r="R49" s="68">
        <v>200</v>
      </c>
      <c r="S49" s="68">
        <v>200</v>
      </c>
      <c r="T49">
        <f t="shared" si="8"/>
        <v>2.6</v>
      </c>
      <c r="U49">
        <f t="shared" si="9"/>
        <v>2.6</v>
      </c>
      <c r="AA49" s="69" t="s">
        <v>48</v>
      </c>
      <c r="AB49" s="15">
        <v>180</v>
      </c>
      <c r="AC49" s="14" t="s">
        <v>284</v>
      </c>
      <c r="AD49" s="15">
        <v>200</v>
      </c>
      <c r="AE49" s="14" t="s">
        <v>284</v>
      </c>
    </row>
    <row r="50" spans="1:31" x14ac:dyDescent="0.25">
      <c r="B50" t="s">
        <v>73</v>
      </c>
      <c r="C50" t="s">
        <v>25</v>
      </c>
      <c r="D50">
        <v>46.847000000000001</v>
      </c>
      <c r="E50">
        <f t="shared" si="4"/>
        <v>180</v>
      </c>
      <c r="F50">
        <f t="shared" si="5"/>
        <v>180</v>
      </c>
      <c r="G50" s="14">
        <v>200</v>
      </c>
      <c r="H50" s="15">
        <v>200</v>
      </c>
      <c r="I50">
        <f t="shared" si="10"/>
        <v>2.6</v>
      </c>
      <c r="J50">
        <f t="shared" si="11"/>
        <v>2.6</v>
      </c>
      <c r="L50" s="14"/>
      <c r="M50" s="14" t="s">
        <v>113</v>
      </c>
      <c r="N50" t="s">
        <v>28</v>
      </c>
      <c r="O50" s="68">
        <v>46.847000000000001</v>
      </c>
      <c r="P50">
        <f t="shared" si="6"/>
        <v>180</v>
      </c>
      <c r="Q50">
        <f t="shared" si="7"/>
        <v>200</v>
      </c>
      <c r="R50" s="68">
        <v>100</v>
      </c>
      <c r="S50" s="68">
        <v>200</v>
      </c>
      <c r="T50">
        <f t="shared" si="8"/>
        <v>1.3</v>
      </c>
      <c r="U50">
        <f t="shared" si="9"/>
        <v>2.6</v>
      </c>
      <c r="AA50" s="69" t="s">
        <v>105</v>
      </c>
      <c r="AB50" s="15">
        <v>180</v>
      </c>
      <c r="AC50" s="14" t="s">
        <v>284</v>
      </c>
      <c r="AD50" s="15">
        <v>250</v>
      </c>
      <c r="AE50" s="14" t="s">
        <v>284</v>
      </c>
    </row>
    <row r="51" spans="1:31" x14ac:dyDescent="0.25">
      <c r="B51" t="s">
        <v>74</v>
      </c>
      <c r="C51" t="s">
        <v>25</v>
      </c>
      <c r="D51">
        <v>46.847000000000001</v>
      </c>
      <c r="E51">
        <f t="shared" si="4"/>
        <v>180</v>
      </c>
      <c r="F51">
        <f t="shared" si="5"/>
        <v>180</v>
      </c>
      <c r="G51" s="14">
        <v>200</v>
      </c>
      <c r="H51" s="15">
        <v>200</v>
      </c>
      <c r="I51">
        <f t="shared" si="10"/>
        <v>2.6</v>
      </c>
      <c r="J51">
        <f t="shared" si="11"/>
        <v>2.6</v>
      </c>
      <c r="L51" s="14"/>
      <c r="M51" s="14" t="s">
        <v>114</v>
      </c>
      <c r="N51" t="s">
        <v>28</v>
      </c>
      <c r="O51" s="68">
        <v>100.175</v>
      </c>
      <c r="P51">
        <f t="shared" si="6"/>
        <v>360</v>
      </c>
      <c r="Q51">
        <f t="shared" si="7"/>
        <v>380</v>
      </c>
      <c r="R51" s="68">
        <v>200</v>
      </c>
      <c r="S51" s="68">
        <v>200</v>
      </c>
      <c r="T51">
        <f t="shared" si="8"/>
        <v>4.2</v>
      </c>
      <c r="U51">
        <f t="shared" si="9"/>
        <v>4.2</v>
      </c>
      <c r="AA51" s="69" t="s">
        <v>52</v>
      </c>
      <c r="AB51" s="15">
        <v>360</v>
      </c>
      <c r="AC51" s="14" t="s">
        <v>284</v>
      </c>
      <c r="AD51" s="15">
        <v>380</v>
      </c>
      <c r="AE51" s="14" t="s">
        <v>284</v>
      </c>
    </row>
    <row r="52" spans="1:31" x14ac:dyDescent="0.25">
      <c r="B52" t="s">
        <v>75</v>
      </c>
      <c r="C52" t="s">
        <v>25</v>
      </c>
      <c r="D52">
        <v>46.847000000000001</v>
      </c>
      <c r="E52">
        <f t="shared" si="4"/>
        <v>180</v>
      </c>
      <c r="F52">
        <f t="shared" si="5"/>
        <v>225</v>
      </c>
      <c r="G52" s="14">
        <v>100</v>
      </c>
      <c r="H52" s="14">
        <v>200</v>
      </c>
      <c r="I52">
        <f t="shared" si="10"/>
        <v>1.3</v>
      </c>
      <c r="J52">
        <f t="shared" si="11"/>
        <v>2.6</v>
      </c>
      <c r="L52" s="14"/>
      <c r="M52" s="14" t="s">
        <v>116</v>
      </c>
      <c r="N52" t="s">
        <v>28</v>
      </c>
      <c r="O52" s="68">
        <v>46.847000000000001</v>
      </c>
      <c r="P52">
        <f t="shared" si="6"/>
        <v>180</v>
      </c>
      <c r="Q52">
        <f t="shared" si="7"/>
        <v>200</v>
      </c>
      <c r="R52" s="68">
        <v>100</v>
      </c>
      <c r="S52" s="68">
        <v>200</v>
      </c>
      <c r="T52">
        <f t="shared" si="8"/>
        <v>1.3</v>
      </c>
      <c r="U52">
        <f t="shared" si="9"/>
        <v>2.6</v>
      </c>
      <c r="AA52" s="69" t="s">
        <v>108</v>
      </c>
      <c r="AB52" s="15">
        <v>180</v>
      </c>
      <c r="AC52" s="14" t="s">
        <v>284</v>
      </c>
      <c r="AD52" s="15">
        <v>225</v>
      </c>
      <c r="AE52" s="14" t="s">
        <v>284</v>
      </c>
    </row>
    <row r="53" spans="1:31" x14ac:dyDescent="0.25">
      <c r="A53" s="13" t="s">
        <v>136</v>
      </c>
      <c r="B53" s="13"/>
      <c r="I53" s="14">
        <f>SUM(I54:I102)</f>
        <v>98.4</v>
      </c>
      <c r="J53" s="14">
        <f>SUM(J54:J102)</f>
        <v>114.79999999999994</v>
      </c>
      <c r="L53" s="14"/>
      <c r="M53" s="14" t="s">
        <v>120</v>
      </c>
      <c r="N53" t="s">
        <v>28</v>
      </c>
      <c r="O53" s="68">
        <v>46.847000000000001</v>
      </c>
      <c r="P53">
        <f t="shared" si="6"/>
        <v>180</v>
      </c>
      <c r="Q53">
        <f t="shared" si="7"/>
        <v>180</v>
      </c>
      <c r="R53" s="68">
        <v>100</v>
      </c>
      <c r="S53" s="68">
        <v>100</v>
      </c>
      <c r="T53">
        <f t="shared" si="8"/>
        <v>1.3</v>
      </c>
      <c r="U53">
        <f t="shared" si="9"/>
        <v>1.3</v>
      </c>
      <c r="X53" s="14"/>
      <c r="Y53" s="14"/>
      <c r="Z53" s="14"/>
      <c r="AA53" s="69" t="s">
        <v>55</v>
      </c>
      <c r="AB53" s="15">
        <v>360</v>
      </c>
      <c r="AC53" s="14" t="s">
        <v>284</v>
      </c>
      <c r="AD53" s="15">
        <v>400</v>
      </c>
      <c r="AE53" s="14" t="s">
        <v>284</v>
      </c>
    </row>
    <row r="54" spans="1:31" x14ac:dyDescent="0.25">
      <c r="B54" s="14" t="s">
        <v>79</v>
      </c>
      <c r="C54" t="s">
        <v>25</v>
      </c>
      <c r="D54">
        <v>46.847000000000001</v>
      </c>
      <c r="E54">
        <f t="shared" si="4"/>
        <v>180</v>
      </c>
      <c r="F54">
        <f t="shared" si="5"/>
        <v>400</v>
      </c>
      <c r="G54" s="15">
        <v>200</v>
      </c>
      <c r="H54" s="15">
        <v>300</v>
      </c>
      <c r="I54">
        <f>ROUNDUP(G54/150,0)*VLOOKUP(D54,$X$2:$Y$6,2)</f>
        <v>2.6</v>
      </c>
      <c r="J54">
        <f>ROUNDUP(H54/150,0)*VLOOKUP(D54,$X$2:$Y$6,2)</f>
        <v>2.6</v>
      </c>
      <c r="L54" s="14"/>
      <c r="M54" s="14" t="s">
        <v>121</v>
      </c>
      <c r="N54" t="s">
        <v>28</v>
      </c>
      <c r="O54" s="68">
        <v>100.175</v>
      </c>
      <c r="P54">
        <f t="shared" si="6"/>
        <v>360</v>
      </c>
      <c r="Q54">
        <f t="shared" si="7"/>
        <v>380</v>
      </c>
      <c r="R54" s="68">
        <v>200</v>
      </c>
      <c r="S54" s="68">
        <v>200</v>
      </c>
      <c r="T54">
        <f t="shared" si="8"/>
        <v>4.2</v>
      </c>
      <c r="U54">
        <f t="shared" si="9"/>
        <v>4.2</v>
      </c>
      <c r="AA54" s="69" t="s">
        <v>112</v>
      </c>
      <c r="AB54" s="15">
        <v>180</v>
      </c>
      <c r="AC54" s="14" t="s">
        <v>284</v>
      </c>
      <c r="AD54" s="15">
        <v>200</v>
      </c>
      <c r="AE54" s="14" t="s">
        <v>284</v>
      </c>
    </row>
    <row r="55" spans="1:31" x14ac:dyDescent="0.25">
      <c r="B55" s="14" t="s">
        <v>80</v>
      </c>
      <c r="C55" t="s">
        <v>25</v>
      </c>
      <c r="D55">
        <v>26.718</v>
      </c>
      <c r="E55">
        <f t="shared" si="4"/>
        <v>200</v>
      </c>
      <c r="F55">
        <f t="shared" si="5"/>
        <v>400</v>
      </c>
      <c r="G55" s="14">
        <v>200</v>
      </c>
      <c r="H55" s="14">
        <v>200</v>
      </c>
      <c r="I55">
        <f t="shared" ref="I55:I102" si="12">ROUNDUP(G55/150,0)*VLOOKUP(D55,$X$2:$Y$6,2)</f>
        <v>1.3</v>
      </c>
      <c r="J55">
        <f t="shared" ref="J55:J102" si="13">ROUNDUP(H55/150,0)*VLOOKUP(D55,$X$2:$Y$6,2)</f>
        <v>1.3</v>
      </c>
      <c r="L55" s="14"/>
      <c r="M55" s="14" t="s">
        <v>123</v>
      </c>
      <c r="N55" t="s">
        <v>28</v>
      </c>
      <c r="O55" s="68">
        <v>46.847000000000001</v>
      </c>
      <c r="P55">
        <f t="shared" si="6"/>
        <v>180</v>
      </c>
      <c r="Q55">
        <f t="shared" si="7"/>
        <v>180</v>
      </c>
      <c r="R55" s="68">
        <v>100</v>
      </c>
      <c r="S55" s="68">
        <v>100</v>
      </c>
      <c r="T55">
        <f t="shared" si="8"/>
        <v>1.3</v>
      </c>
      <c r="U55">
        <f t="shared" si="9"/>
        <v>1.3</v>
      </c>
      <c r="AA55" s="69" t="s">
        <v>59</v>
      </c>
      <c r="AB55" s="15">
        <v>360</v>
      </c>
      <c r="AC55" s="14" t="s">
        <v>284</v>
      </c>
      <c r="AD55" s="15">
        <v>400</v>
      </c>
      <c r="AE55" s="14" t="s">
        <v>284</v>
      </c>
    </row>
    <row r="56" spans="1:31" x14ac:dyDescent="0.25">
      <c r="B56" s="14" t="s">
        <v>81</v>
      </c>
      <c r="C56" t="s">
        <v>25</v>
      </c>
      <c r="D56">
        <v>100.175</v>
      </c>
      <c r="E56">
        <f t="shared" si="4"/>
        <v>180</v>
      </c>
      <c r="F56">
        <f t="shared" si="5"/>
        <v>350</v>
      </c>
      <c r="G56" s="14">
        <v>200</v>
      </c>
      <c r="H56" s="15">
        <v>300</v>
      </c>
      <c r="I56">
        <f t="shared" si="12"/>
        <v>4.2</v>
      </c>
      <c r="J56">
        <f t="shared" si="13"/>
        <v>4.2</v>
      </c>
      <c r="L56" s="14"/>
      <c r="M56" s="14" t="s">
        <v>127</v>
      </c>
      <c r="N56" t="s">
        <v>28</v>
      </c>
      <c r="O56" s="68">
        <v>46.847000000000001</v>
      </c>
      <c r="P56">
        <f t="shared" si="6"/>
        <v>180</v>
      </c>
      <c r="Q56">
        <f t="shared" si="7"/>
        <v>180</v>
      </c>
      <c r="R56" s="67">
        <v>100</v>
      </c>
      <c r="S56" s="68">
        <v>100</v>
      </c>
      <c r="T56">
        <f t="shared" si="8"/>
        <v>1.3</v>
      </c>
      <c r="U56">
        <f t="shared" si="9"/>
        <v>1.3</v>
      </c>
      <c r="AA56" s="69" t="s">
        <v>115</v>
      </c>
      <c r="AB56" s="15">
        <v>180</v>
      </c>
      <c r="AC56" s="14" t="s">
        <v>284</v>
      </c>
      <c r="AD56" s="15">
        <v>180</v>
      </c>
      <c r="AE56" s="14" t="s">
        <v>284</v>
      </c>
    </row>
    <row r="57" spans="1:31" x14ac:dyDescent="0.25">
      <c r="B57" s="14" t="s">
        <v>82</v>
      </c>
      <c r="C57" t="s">
        <v>25</v>
      </c>
      <c r="D57">
        <v>26.718</v>
      </c>
      <c r="E57">
        <f t="shared" si="4"/>
        <v>360</v>
      </c>
      <c r="F57">
        <f t="shared" si="5"/>
        <v>550</v>
      </c>
      <c r="G57" s="15">
        <v>300</v>
      </c>
      <c r="H57" s="15">
        <v>300</v>
      </c>
      <c r="I57">
        <f t="shared" si="12"/>
        <v>1.3</v>
      </c>
      <c r="J57">
        <f t="shared" si="13"/>
        <v>1.3</v>
      </c>
      <c r="L57" s="14"/>
      <c r="M57" s="14" t="s">
        <v>128</v>
      </c>
      <c r="N57" t="s">
        <v>28</v>
      </c>
      <c r="O57" s="68">
        <v>100.175</v>
      </c>
      <c r="P57">
        <f t="shared" si="6"/>
        <v>180</v>
      </c>
      <c r="Q57">
        <f t="shared" si="7"/>
        <v>180</v>
      </c>
      <c r="R57" s="67">
        <v>100</v>
      </c>
      <c r="S57" s="68">
        <v>100</v>
      </c>
      <c r="T57">
        <f t="shared" si="8"/>
        <v>2.1</v>
      </c>
      <c r="U57">
        <f t="shared" si="9"/>
        <v>2.1</v>
      </c>
      <c r="AA57" s="69" t="s">
        <v>62</v>
      </c>
      <c r="AB57" s="15">
        <v>360</v>
      </c>
      <c r="AC57" s="14" t="s">
        <v>284</v>
      </c>
      <c r="AD57" s="15">
        <v>400</v>
      </c>
      <c r="AE57" s="14" t="s">
        <v>284</v>
      </c>
    </row>
    <row r="58" spans="1:31" x14ac:dyDescent="0.25">
      <c r="B58" s="14" t="s">
        <v>84</v>
      </c>
      <c r="C58" t="s">
        <v>25</v>
      </c>
      <c r="D58">
        <v>46.847000000000001</v>
      </c>
      <c r="E58">
        <f t="shared" si="4"/>
        <v>540</v>
      </c>
      <c r="F58">
        <f t="shared" si="5"/>
        <v>800</v>
      </c>
      <c r="G58" s="15">
        <v>500</v>
      </c>
      <c r="H58" s="15">
        <v>800</v>
      </c>
      <c r="I58">
        <f t="shared" si="12"/>
        <v>5.2</v>
      </c>
      <c r="J58">
        <f t="shared" si="13"/>
        <v>7.8000000000000007</v>
      </c>
      <c r="L58" s="14"/>
      <c r="M58" s="14" t="s">
        <v>130</v>
      </c>
      <c r="N58" t="s">
        <v>28</v>
      </c>
      <c r="O58" s="68">
        <v>46.847000000000001</v>
      </c>
      <c r="P58">
        <f t="shared" si="6"/>
        <v>180</v>
      </c>
      <c r="Q58">
        <f t="shared" si="7"/>
        <v>180</v>
      </c>
      <c r="R58" s="67">
        <v>100</v>
      </c>
      <c r="S58" s="68">
        <v>100</v>
      </c>
      <c r="T58">
        <f t="shared" si="8"/>
        <v>1.3</v>
      </c>
      <c r="U58">
        <f t="shared" si="9"/>
        <v>1.3</v>
      </c>
      <c r="AA58" s="69" t="s">
        <v>119</v>
      </c>
      <c r="AB58" s="15">
        <v>180</v>
      </c>
      <c r="AC58" s="14" t="s">
        <v>284</v>
      </c>
      <c r="AD58" s="15">
        <v>180</v>
      </c>
      <c r="AE58" s="14" t="s">
        <v>284</v>
      </c>
    </row>
    <row r="59" spans="1:31" x14ac:dyDescent="0.25">
      <c r="B59" s="14" t="s">
        <v>85</v>
      </c>
      <c r="C59" t="s">
        <v>25</v>
      </c>
      <c r="D59">
        <v>53.328000000000003</v>
      </c>
      <c r="E59">
        <f t="shared" si="4"/>
        <v>180</v>
      </c>
      <c r="F59">
        <f t="shared" si="5"/>
        <v>400</v>
      </c>
      <c r="G59" s="14">
        <v>200</v>
      </c>
      <c r="H59" s="14">
        <v>200</v>
      </c>
      <c r="I59">
        <f t="shared" si="12"/>
        <v>2</v>
      </c>
      <c r="J59">
        <f t="shared" si="13"/>
        <v>2</v>
      </c>
      <c r="AA59" s="69" t="s">
        <v>66</v>
      </c>
      <c r="AB59" s="15">
        <v>360</v>
      </c>
      <c r="AC59" s="14" t="s">
        <v>284</v>
      </c>
      <c r="AD59" s="15">
        <v>400</v>
      </c>
      <c r="AE59" s="14" t="s">
        <v>284</v>
      </c>
    </row>
    <row r="60" spans="1:31" x14ac:dyDescent="0.25">
      <c r="B60" s="14" t="s">
        <v>86</v>
      </c>
      <c r="C60" t="s">
        <v>25</v>
      </c>
      <c r="D60">
        <v>46.847000000000001</v>
      </c>
      <c r="E60">
        <f t="shared" si="4"/>
        <v>200</v>
      </c>
      <c r="F60">
        <f t="shared" si="5"/>
        <v>500</v>
      </c>
      <c r="G60" s="14">
        <v>200</v>
      </c>
      <c r="H60" s="15">
        <v>400</v>
      </c>
      <c r="I60">
        <f t="shared" si="12"/>
        <v>2.6</v>
      </c>
      <c r="J60">
        <f t="shared" si="13"/>
        <v>3.9000000000000004</v>
      </c>
      <c r="AA60" s="69" t="s">
        <v>122</v>
      </c>
      <c r="AB60" s="15">
        <v>180</v>
      </c>
      <c r="AC60" s="14" t="s">
        <v>284</v>
      </c>
      <c r="AD60" s="15">
        <v>180</v>
      </c>
      <c r="AE60" s="14" t="s">
        <v>284</v>
      </c>
    </row>
    <row r="61" spans="1:31" x14ac:dyDescent="0.25">
      <c r="B61" s="14" t="s">
        <v>87</v>
      </c>
      <c r="C61" t="s">
        <v>25</v>
      </c>
      <c r="D61">
        <v>26.718</v>
      </c>
      <c r="E61">
        <f t="shared" si="4"/>
        <v>360</v>
      </c>
      <c r="F61">
        <f t="shared" si="5"/>
        <v>580</v>
      </c>
      <c r="G61" s="15">
        <v>300</v>
      </c>
      <c r="H61" s="15">
        <v>600</v>
      </c>
      <c r="I61">
        <f t="shared" si="12"/>
        <v>1.3</v>
      </c>
      <c r="J61">
        <f t="shared" si="13"/>
        <v>2.6</v>
      </c>
      <c r="AA61" s="69" t="s">
        <v>69</v>
      </c>
      <c r="AB61" s="15">
        <v>180</v>
      </c>
      <c r="AC61" s="14" t="s">
        <v>284</v>
      </c>
      <c r="AD61" s="15">
        <v>200</v>
      </c>
      <c r="AE61" s="14" t="s">
        <v>284</v>
      </c>
    </row>
    <row r="62" spans="1:31" x14ac:dyDescent="0.25">
      <c r="B62" s="14" t="s">
        <v>88</v>
      </c>
      <c r="C62" t="s">
        <v>25</v>
      </c>
      <c r="D62">
        <v>46.847000000000001</v>
      </c>
      <c r="E62">
        <f t="shared" si="4"/>
        <v>800</v>
      </c>
      <c r="F62">
        <f t="shared" si="5"/>
        <v>1000</v>
      </c>
      <c r="G62" s="15">
        <v>600</v>
      </c>
      <c r="H62" s="15">
        <v>800</v>
      </c>
      <c r="I62">
        <f t="shared" si="12"/>
        <v>5.2</v>
      </c>
      <c r="J62">
        <f t="shared" si="13"/>
        <v>7.8000000000000007</v>
      </c>
      <c r="AA62" s="69" t="s">
        <v>126</v>
      </c>
      <c r="AB62" s="15">
        <v>180</v>
      </c>
      <c r="AC62" s="14" t="s">
        <v>284</v>
      </c>
      <c r="AD62" s="15">
        <v>180</v>
      </c>
      <c r="AE62" s="14" t="s">
        <v>284</v>
      </c>
    </row>
    <row r="63" spans="1:31" x14ac:dyDescent="0.25">
      <c r="B63" s="14" t="s">
        <v>89</v>
      </c>
      <c r="C63" t="s">
        <v>25</v>
      </c>
      <c r="D63">
        <v>100.175</v>
      </c>
      <c r="E63">
        <f t="shared" si="4"/>
        <v>360</v>
      </c>
      <c r="F63">
        <f t="shared" si="5"/>
        <v>440</v>
      </c>
      <c r="G63" s="15">
        <v>300</v>
      </c>
      <c r="H63" s="15">
        <v>400</v>
      </c>
      <c r="I63">
        <f t="shared" si="12"/>
        <v>4.2</v>
      </c>
      <c r="J63">
        <f t="shared" si="13"/>
        <v>6.3000000000000007</v>
      </c>
      <c r="AA63" s="69" t="s">
        <v>83</v>
      </c>
      <c r="AB63" s="14" t="s">
        <v>284</v>
      </c>
      <c r="AC63" s="15">
        <v>180</v>
      </c>
      <c r="AD63" s="14" t="s">
        <v>284</v>
      </c>
      <c r="AE63" s="15">
        <v>250</v>
      </c>
    </row>
    <row r="64" spans="1:31" x14ac:dyDescent="0.25">
      <c r="B64" s="14" t="s">
        <v>90</v>
      </c>
      <c r="C64" t="s">
        <v>25</v>
      </c>
      <c r="D64">
        <v>26.718</v>
      </c>
      <c r="E64">
        <f t="shared" si="4"/>
        <v>540</v>
      </c>
      <c r="F64">
        <f t="shared" si="5"/>
        <v>600</v>
      </c>
      <c r="G64" s="15">
        <v>500</v>
      </c>
      <c r="H64" s="15">
        <v>600</v>
      </c>
      <c r="I64">
        <f t="shared" si="12"/>
        <v>2.6</v>
      </c>
      <c r="J64">
        <f t="shared" si="13"/>
        <v>2.6</v>
      </c>
      <c r="AA64" s="69" t="s">
        <v>24</v>
      </c>
      <c r="AB64" s="15">
        <v>180</v>
      </c>
      <c r="AC64" s="14" t="s">
        <v>284</v>
      </c>
      <c r="AD64" s="15">
        <v>250</v>
      </c>
      <c r="AE64" s="14" t="s">
        <v>284</v>
      </c>
    </row>
    <row r="65" spans="2:31" x14ac:dyDescent="0.25">
      <c r="B65" s="14" t="s">
        <v>91</v>
      </c>
      <c r="C65" t="s">
        <v>25</v>
      </c>
      <c r="D65">
        <v>46.847000000000001</v>
      </c>
      <c r="E65">
        <f t="shared" si="4"/>
        <v>540</v>
      </c>
      <c r="F65">
        <f t="shared" si="5"/>
        <v>640</v>
      </c>
      <c r="G65" s="15">
        <v>400</v>
      </c>
      <c r="H65" s="15">
        <v>600</v>
      </c>
      <c r="I65">
        <f t="shared" si="12"/>
        <v>3.9000000000000004</v>
      </c>
      <c r="J65">
        <f t="shared" si="13"/>
        <v>5.2</v>
      </c>
      <c r="AA65" s="69" t="s">
        <v>85</v>
      </c>
      <c r="AB65" s="15">
        <v>180</v>
      </c>
      <c r="AC65" s="14" t="s">
        <v>284</v>
      </c>
      <c r="AD65" s="15">
        <v>400</v>
      </c>
      <c r="AE65" s="14" t="s">
        <v>284</v>
      </c>
    </row>
    <row r="66" spans="2:31" x14ac:dyDescent="0.25">
      <c r="B66" s="14" t="s">
        <v>92</v>
      </c>
      <c r="C66" t="s">
        <v>25</v>
      </c>
      <c r="D66">
        <v>53.328000000000003</v>
      </c>
      <c r="E66">
        <f t="shared" si="4"/>
        <v>200</v>
      </c>
      <c r="F66">
        <f t="shared" si="5"/>
        <v>250</v>
      </c>
      <c r="G66" s="14">
        <v>200</v>
      </c>
      <c r="H66" s="14">
        <v>200</v>
      </c>
      <c r="I66">
        <f t="shared" si="12"/>
        <v>2</v>
      </c>
      <c r="J66">
        <f t="shared" si="13"/>
        <v>2</v>
      </c>
      <c r="AA66" s="69" t="s">
        <v>27</v>
      </c>
      <c r="AB66" s="14" t="s">
        <v>284</v>
      </c>
      <c r="AC66" s="15">
        <v>180</v>
      </c>
      <c r="AD66" s="14" t="s">
        <v>284</v>
      </c>
      <c r="AE66" s="15">
        <v>200</v>
      </c>
    </row>
    <row r="67" spans="2:31" x14ac:dyDescent="0.25">
      <c r="B67" s="14" t="s">
        <v>93</v>
      </c>
      <c r="C67" t="s">
        <v>25</v>
      </c>
      <c r="D67">
        <v>46.847000000000001</v>
      </c>
      <c r="E67">
        <f t="shared" si="4"/>
        <v>180</v>
      </c>
      <c r="F67">
        <f t="shared" si="5"/>
        <v>250</v>
      </c>
      <c r="G67" s="14">
        <v>200</v>
      </c>
      <c r="H67" s="15">
        <v>300</v>
      </c>
      <c r="I67">
        <f t="shared" si="12"/>
        <v>2.6</v>
      </c>
      <c r="J67">
        <f t="shared" si="13"/>
        <v>2.6</v>
      </c>
      <c r="AA67" s="69" t="s">
        <v>92</v>
      </c>
      <c r="AB67" s="15">
        <v>200</v>
      </c>
      <c r="AC67" s="14" t="s">
        <v>284</v>
      </c>
      <c r="AD67" s="15">
        <v>250</v>
      </c>
      <c r="AE67" s="14" t="s">
        <v>284</v>
      </c>
    </row>
    <row r="68" spans="2:31" x14ac:dyDescent="0.25">
      <c r="B68" s="14" t="s">
        <v>94</v>
      </c>
      <c r="C68" t="s">
        <v>25</v>
      </c>
      <c r="D68">
        <v>26.718</v>
      </c>
      <c r="E68">
        <f t="shared" si="4"/>
        <v>180</v>
      </c>
      <c r="F68">
        <f t="shared" si="5"/>
        <v>250</v>
      </c>
      <c r="G68" s="15">
        <v>200</v>
      </c>
      <c r="H68" s="14">
        <v>200</v>
      </c>
      <c r="I68">
        <f t="shared" si="12"/>
        <v>1.3</v>
      </c>
      <c r="J68">
        <f t="shared" si="13"/>
        <v>1.3</v>
      </c>
      <c r="AA68" s="69" t="s">
        <v>29</v>
      </c>
      <c r="AB68" s="15">
        <v>180</v>
      </c>
      <c r="AC68" s="14" t="s">
        <v>284</v>
      </c>
      <c r="AD68" s="15">
        <v>225</v>
      </c>
      <c r="AE68" s="14" t="s">
        <v>284</v>
      </c>
    </row>
    <row r="69" spans="2:31" x14ac:dyDescent="0.25">
      <c r="B69" s="14" t="s">
        <v>95</v>
      </c>
      <c r="C69" t="s">
        <v>25</v>
      </c>
      <c r="D69">
        <v>46.847000000000001</v>
      </c>
      <c r="E69">
        <f t="shared" ref="E69:E102" si="14">VLOOKUP(B69,$AA$2:$AE$103,2,FALSE)</f>
        <v>180</v>
      </c>
      <c r="F69">
        <f t="shared" ref="F69:F102" si="15">VLOOKUP(B69,$AA$2:$AE$103,4,FALSE)</f>
        <v>250</v>
      </c>
      <c r="G69" s="14">
        <v>200</v>
      </c>
      <c r="H69" s="15">
        <v>300</v>
      </c>
      <c r="I69">
        <f t="shared" si="12"/>
        <v>2.6</v>
      </c>
      <c r="J69">
        <f t="shared" si="13"/>
        <v>2.6</v>
      </c>
      <c r="AA69" s="69" t="s">
        <v>110</v>
      </c>
      <c r="AB69" s="15">
        <v>180</v>
      </c>
      <c r="AC69" s="14" t="s">
        <v>284</v>
      </c>
      <c r="AD69" s="15">
        <v>275</v>
      </c>
      <c r="AE69" s="14" t="s">
        <v>284</v>
      </c>
    </row>
    <row r="70" spans="2:31" x14ac:dyDescent="0.25">
      <c r="B70" s="14" t="s">
        <v>96</v>
      </c>
      <c r="C70" t="s">
        <v>25</v>
      </c>
      <c r="D70">
        <v>100.175</v>
      </c>
      <c r="E70">
        <f t="shared" si="14"/>
        <v>180</v>
      </c>
      <c r="F70">
        <f t="shared" si="15"/>
        <v>250</v>
      </c>
      <c r="G70" s="14">
        <v>100</v>
      </c>
      <c r="H70" s="14">
        <v>100</v>
      </c>
      <c r="I70">
        <f t="shared" si="12"/>
        <v>2.1</v>
      </c>
      <c r="J70">
        <f t="shared" si="13"/>
        <v>2.1</v>
      </c>
      <c r="AA70" s="69" t="s">
        <v>32</v>
      </c>
      <c r="AB70" s="15">
        <v>180</v>
      </c>
      <c r="AC70" s="14" t="s">
        <v>284</v>
      </c>
      <c r="AD70" s="15">
        <v>325</v>
      </c>
      <c r="AE70" s="14" t="s">
        <v>284</v>
      </c>
    </row>
    <row r="71" spans="2:31" x14ac:dyDescent="0.25">
      <c r="B71" s="14" t="s">
        <v>97</v>
      </c>
      <c r="C71" t="s">
        <v>25</v>
      </c>
      <c r="D71">
        <v>26.718</v>
      </c>
      <c r="E71">
        <f t="shared" si="14"/>
        <v>180</v>
      </c>
      <c r="F71">
        <f t="shared" si="15"/>
        <v>225</v>
      </c>
      <c r="G71" s="14">
        <v>100</v>
      </c>
      <c r="H71" s="14">
        <v>200</v>
      </c>
      <c r="I71">
        <f t="shared" si="12"/>
        <v>0.65</v>
      </c>
      <c r="J71">
        <f t="shared" si="13"/>
        <v>1.3</v>
      </c>
      <c r="AA71" s="69" t="s">
        <v>117</v>
      </c>
      <c r="AB71" s="15">
        <v>180</v>
      </c>
      <c r="AC71" s="14" t="s">
        <v>284</v>
      </c>
      <c r="AD71" s="15">
        <v>225</v>
      </c>
      <c r="AE71" s="14" t="s">
        <v>284</v>
      </c>
    </row>
    <row r="72" spans="2:31" x14ac:dyDescent="0.25">
      <c r="B72" s="14" t="s">
        <v>98</v>
      </c>
      <c r="C72" t="s">
        <v>25</v>
      </c>
      <c r="D72">
        <v>46.847000000000001</v>
      </c>
      <c r="E72">
        <f t="shared" si="14"/>
        <v>180</v>
      </c>
      <c r="F72">
        <f t="shared" si="15"/>
        <v>225</v>
      </c>
      <c r="G72" s="14">
        <v>200</v>
      </c>
      <c r="H72" s="15">
        <v>300</v>
      </c>
      <c r="I72">
        <f t="shared" si="12"/>
        <v>2.6</v>
      </c>
      <c r="J72">
        <f t="shared" si="13"/>
        <v>2.6</v>
      </c>
      <c r="AA72" s="69" t="s">
        <v>50</v>
      </c>
      <c r="AB72" s="15">
        <v>180</v>
      </c>
      <c r="AC72" s="14" t="s">
        <v>284</v>
      </c>
      <c r="AD72" s="15">
        <v>225</v>
      </c>
      <c r="AE72" s="14" t="s">
        <v>284</v>
      </c>
    </row>
    <row r="73" spans="2:31" x14ac:dyDescent="0.25">
      <c r="B73" s="14" t="s">
        <v>99</v>
      </c>
      <c r="C73" t="s">
        <v>25</v>
      </c>
      <c r="D73">
        <v>46.847000000000001</v>
      </c>
      <c r="E73">
        <f t="shared" si="14"/>
        <v>180</v>
      </c>
      <c r="F73">
        <f t="shared" si="15"/>
        <v>225</v>
      </c>
      <c r="G73" s="14">
        <v>200</v>
      </c>
      <c r="H73" s="15">
        <v>300</v>
      </c>
      <c r="I73">
        <f t="shared" si="12"/>
        <v>2.6</v>
      </c>
      <c r="J73">
        <f t="shared" si="13"/>
        <v>2.6</v>
      </c>
      <c r="AA73" s="69" t="s">
        <v>124</v>
      </c>
      <c r="AB73" s="15">
        <v>180</v>
      </c>
      <c r="AC73" s="14" t="s">
        <v>284</v>
      </c>
      <c r="AD73" s="15">
        <v>200</v>
      </c>
      <c r="AE73" s="14" t="s">
        <v>284</v>
      </c>
    </row>
    <row r="74" spans="2:31" x14ac:dyDescent="0.25">
      <c r="B74" s="14" t="s">
        <v>100</v>
      </c>
      <c r="C74" t="s">
        <v>25</v>
      </c>
      <c r="D74">
        <v>100.175</v>
      </c>
      <c r="E74">
        <f t="shared" si="14"/>
        <v>180</v>
      </c>
      <c r="F74">
        <f t="shared" si="15"/>
        <v>225</v>
      </c>
      <c r="G74" s="14">
        <v>100</v>
      </c>
      <c r="H74" s="14">
        <v>100</v>
      </c>
      <c r="I74">
        <f t="shared" si="12"/>
        <v>2.1</v>
      </c>
      <c r="J74">
        <f t="shared" si="13"/>
        <v>2.1</v>
      </c>
      <c r="AA74" s="69" t="s">
        <v>57</v>
      </c>
      <c r="AB74" s="15">
        <v>180</v>
      </c>
      <c r="AC74" s="14" t="s">
        <v>284</v>
      </c>
      <c r="AD74" s="15">
        <v>200</v>
      </c>
      <c r="AE74" s="14" t="s">
        <v>284</v>
      </c>
    </row>
    <row r="75" spans="2:31" x14ac:dyDescent="0.25">
      <c r="B75" s="14" t="s">
        <v>101</v>
      </c>
      <c r="C75" t="s">
        <v>25</v>
      </c>
      <c r="D75">
        <v>46.847000000000001</v>
      </c>
      <c r="E75">
        <f t="shared" si="14"/>
        <v>180</v>
      </c>
      <c r="F75">
        <f t="shared" si="15"/>
        <v>225</v>
      </c>
      <c r="G75" s="14">
        <v>200</v>
      </c>
      <c r="H75" s="15">
        <v>300</v>
      </c>
      <c r="I75">
        <f t="shared" si="12"/>
        <v>2.6</v>
      </c>
      <c r="J75">
        <f t="shared" si="13"/>
        <v>2.6</v>
      </c>
      <c r="AA75" s="69" t="s">
        <v>129</v>
      </c>
      <c r="AB75" s="15">
        <v>180</v>
      </c>
      <c r="AC75" s="14" t="s">
        <v>284</v>
      </c>
      <c r="AD75" s="15">
        <v>180</v>
      </c>
      <c r="AE75" s="14" t="s">
        <v>284</v>
      </c>
    </row>
    <row r="76" spans="2:31" x14ac:dyDescent="0.25">
      <c r="B76" s="14" t="s">
        <v>102</v>
      </c>
      <c r="C76" t="s">
        <v>25</v>
      </c>
      <c r="D76">
        <v>46.847000000000001</v>
      </c>
      <c r="E76">
        <f t="shared" si="14"/>
        <v>180</v>
      </c>
      <c r="F76">
        <f t="shared" si="15"/>
        <v>225</v>
      </c>
      <c r="G76" s="14">
        <v>200</v>
      </c>
      <c r="H76" s="15">
        <v>300</v>
      </c>
      <c r="I76">
        <f t="shared" si="12"/>
        <v>2.6</v>
      </c>
      <c r="J76">
        <f t="shared" si="13"/>
        <v>2.6</v>
      </c>
      <c r="AA76" s="69" t="s">
        <v>64</v>
      </c>
      <c r="AB76" s="15">
        <v>180</v>
      </c>
      <c r="AC76" s="14" t="s">
        <v>284</v>
      </c>
      <c r="AD76" s="15">
        <v>200</v>
      </c>
      <c r="AE76" s="14" t="s">
        <v>284</v>
      </c>
    </row>
    <row r="77" spans="2:31" x14ac:dyDescent="0.25">
      <c r="B77" s="14" t="s">
        <v>103</v>
      </c>
      <c r="C77" t="s">
        <v>25</v>
      </c>
      <c r="D77">
        <v>100.175</v>
      </c>
      <c r="E77">
        <f t="shared" si="14"/>
        <v>180</v>
      </c>
      <c r="F77">
        <f t="shared" si="15"/>
        <v>225</v>
      </c>
      <c r="G77" s="14">
        <v>100</v>
      </c>
      <c r="H77" s="14">
        <v>100</v>
      </c>
      <c r="I77">
        <f t="shared" si="12"/>
        <v>2.1</v>
      </c>
      <c r="J77">
        <f t="shared" si="13"/>
        <v>2.1</v>
      </c>
      <c r="AA77" s="69" t="s">
        <v>33</v>
      </c>
      <c r="AB77" s="15">
        <v>180</v>
      </c>
      <c r="AC77" s="15">
        <v>180</v>
      </c>
      <c r="AD77" s="15">
        <v>180</v>
      </c>
      <c r="AE77" s="15">
        <v>180</v>
      </c>
    </row>
    <row r="78" spans="2:31" x14ac:dyDescent="0.25">
      <c r="B78" s="14" t="s">
        <v>104</v>
      </c>
      <c r="C78" t="s">
        <v>25</v>
      </c>
      <c r="D78">
        <v>46.847000000000001</v>
      </c>
      <c r="E78">
        <f t="shared" si="14"/>
        <v>180</v>
      </c>
      <c r="F78">
        <f t="shared" si="15"/>
        <v>250</v>
      </c>
      <c r="G78" s="14">
        <v>200</v>
      </c>
      <c r="H78" s="15">
        <v>300</v>
      </c>
      <c r="I78">
        <f t="shared" si="12"/>
        <v>2.6</v>
      </c>
      <c r="J78">
        <f t="shared" si="13"/>
        <v>2.6</v>
      </c>
      <c r="AA78" s="69" t="s">
        <v>81</v>
      </c>
      <c r="AB78" s="15">
        <v>180</v>
      </c>
      <c r="AC78" s="14" t="s">
        <v>284</v>
      </c>
      <c r="AD78" s="15">
        <v>350</v>
      </c>
      <c r="AE78" s="14" t="s">
        <v>284</v>
      </c>
    </row>
    <row r="79" spans="2:31" x14ac:dyDescent="0.25">
      <c r="B79" s="14" t="s">
        <v>105</v>
      </c>
      <c r="C79" t="s">
        <v>25</v>
      </c>
      <c r="D79">
        <v>26.718</v>
      </c>
      <c r="E79">
        <f t="shared" si="14"/>
        <v>180</v>
      </c>
      <c r="F79">
        <f t="shared" si="15"/>
        <v>250</v>
      </c>
      <c r="G79" s="14">
        <v>100</v>
      </c>
      <c r="H79" s="14">
        <v>200</v>
      </c>
      <c r="I79">
        <f t="shared" si="12"/>
        <v>0.65</v>
      </c>
      <c r="J79">
        <f t="shared" si="13"/>
        <v>1.3</v>
      </c>
      <c r="AA79" s="69" t="s">
        <v>35</v>
      </c>
      <c r="AB79" s="15">
        <v>180</v>
      </c>
      <c r="AC79" s="15">
        <v>180</v>
      </c>
      <c r="AD79" s="15">
        <v>225</v>
      </c>
      <c r="AE79" s="15">
        <v>180</v>
      </c>
    </row>
    <row r="80" spans="2:31" x14ac:dyDescent="0.25">
      <c r="B80" s="14" t="s">
        <v>106</v>
      </c>
      <c r="C80" t="s">
        <v>25</v>
      </c>
      <c r="D80">
        <v>46.847000000000001</v>
      </c>
      <c r="E80">
        <f t="shared" si="14"/>
        <v>180</v>
      </c>
      <c r="F80">
        <f t="shared" si="15"/>
        <v>275</v>
      </c>
      <c r="G80" s="14">
        <v>200</v>
      </c>
      <c r="H80" s="15">
        <v>300</v>
      </c>
      <c r="I80">
        <f t="shared" si="12"/>
        <v>2.6</v>
      </c>
      <c r="J80">
        <f t="shared" si="13"/>
        <v>2.6</v>
      </c>
      <c r="AA80" s="69" t="s">
        <v>86</v>
      </c>
      <c r="AB80" s="15">
        <v>200</v>
      </c>
      <c r="AC80" s="14" t="s">
        <v>284</v>
      </c>
      <c r="AD80" s="15">
        <v>500</v>
      </c>
      <c r="AE80" s="14" t="s">
        <v>284</v>
      </c>
    </row>
    <row r="81" spans="2:31" x14ac:dyDescent="0.25">
      <c r="B81" s="14" t="s">
        <v>107</v>
      </c>
      <c r="C81" t="s">
        <v>25</v>
      </c>
      <c r="D81">
        <v>100.175</v>
      </c>
      <c r="E81">
        <f t="shared" si="14"/>
        <v>180</v>
      </c>
      <c r="F81">
        <f t="shared" si="15"/>
        <v>250</v>
      </c>
      <c r="G81" s="14">
        <v>200</v>
      </c>
      <c r="H81" s="15">
        <v>300</v>
      </c>
      <c r="I81">
        <f t="shared" si="12"/>
        <v>4.2</v>
      </c>
      <c r="J81">
        <f t="shared" si="13"/>
        <v>4.2</v>
      </c>
      <c r="AA81" s="69" t="s">
        <v>89</v>
      </c>
      <c r="AB81" s="15">
        <v>360</v>
      </c>
      <c r="AC81" s="15">
        <v>180</v>
      </c>
      <c r="AD81" s="15">
        <v>440</v>
      </c>
      <c r="AE81" s="15">
        <v>200</v>
      </c>
    </row>
    <row r="82" spans="2:31" x14ac:dyDescent="0.25">
      <c r="B82" s="14" t="s">
        <v>108</v>
      </c>
      <c r="C82" t="s">
        <v>25</v>
      </c>
      <c r="D82">
        <v>26.718</v>
      </c>
      <c r="E82">
        <f t="shared" si="14"/>
        <v>180</v>
      </c>
      <c r="F82">
        <f t="shared" si="15"/>
        <v>225</v>
      </c>
      <c r="G82" s="14">
        <v>100</v>
      </c>
      <c r="H82" s="14">
        <v>200</v>
      </c>
      <c r="I82">
        <f t="shared" si="12"/>
        <v>0.65</v>
      </c>
      <c r="J82">
        <f t="shared" si="13"/>
        <v>1.3</v>
      </c>
      <c r="AA82" s="69" t="s">
        <v>40</v>
      </c>
      <c r="AB82" s="15">
        <v>180</v>
      </c>
      <c r="AC82" s="15">
        <v>360</v>
      </c>
      <c r="AD82" s="15">
        <v>200</v>
      </c>
      <c r="AE82" s="15">
        <v>380</v>
      </c>
    </row>
    <row r="83" spans="2:31" x14ac:dyDescent="0.25">
      <c r="B83" s="14" t="s">
        <v>109</v>
      </c>
      <c r="C83" t="s">
        <v>25</v>
      </c>
      <c r="D83">
        <v>46.847000000000001</v>
      </c>
      <c r="E83">
        <f t="shared" si="14"/>
        <v>180</v>
      </c>
      <c r="F83">
        <f t="shared" si="15"/>
        <v>275</v>
      </c>
      <c r="G83" s="14">
        <v>200</v>
      </c>
      <c r="H83" s="14">
        <v>200</v>
      </c>
      <c r="I83">
        <f t="shared" si="12"/>
        <v>2.6</v>
      </c>
      <c r="J83">
        <f t="shared" si="13"/>
        <v>2.6</v>
      </c>
      <c r="AA83" s="69" t="s">
        <v>93</v>
      </c>
      <c r="AB83" s="15">
        <v>180</v>
      </c>
      <c r="AC83" s="14" t="s">
        <v>284</v>
      </c>
      <c r="AD83" s="15">
        <v>250</v>
      </c>
      <c r="AE83" s="14" t="s">
        <v>284</v>
      </c>
    </row>
    <row r="84" spans="2:31" x14ac:dyDescent="0.25">
      <c r="B84" s="14" t="s">
        <v>110</v>
      </c>
      <c r="C84" t="s">
        <v>25</v>
      </c>
      <c r="D84">
        <v>53.328000000000003</v>
      </c>
      <c r="E84">
        <f t="shared" si="14"/>
        <v>180</v>
      </c>
      <c r="F84">
        <f t="shared" si="15"/>
        <v>275</v>
      </c>
      <c r="G84" s="14">
        <v>200</v>
      </c>
      <c r="H84" s="14">
        <v>200</v>
      </c>
      <c r="I84">
        <f t="shared" si="12"/>
        <v>2</v>
      </c>
      <c r="J84">
        <f t="shared" si="13"/>
        <v>2</v>
      </c>
      <c r="AA84" s="69" t="s">
        <v>96</v>
      </c>
      <c r="AB84" s="15">
        <v>180</v>
      </c>
      <c r="AC84" s="15">
        <v>180</v>
      </c>
      <c r="AD84" s="15">
        <v>250</v>
      </c>
      <c r="AE84" s="15">
        <v>200</v>
      </c>
    </row>
    <row r="85" spans="2:31" x14ac:dyDescent="0.25">
      <c r="B85" s="14" t="s">
        <v>111</v>
      </c>
      <c r="C85" t="s">
        <v>25</v>
      </c>
      <c r="D85">
        <v>46.847000000000001</v>
      </c>
      <c r="E85">
        <f t="shared" si="14"/>
        <v>180</v>
      </c>
      <c r="F85">
        <f t="shared" si="15"/>
        <v>250</v>
      </c>
      <c r="G85" s="14">
        <v>100</v>
      </c>
      <c r="H85" s="14">
        <v>100</v>
      </c>
      <c r="I85">
        <f t="shared" si="12"/>
        <v>1.3</v>
      </c>
      <c r="J85">
        <f t="shared" si="13"/>
        <v>1.3</v>
      </c>
      <c r="AA85" s="69" t="s">
        <v>43</v>
      </c>
      <c r="AB85" s="15">
        <v>180</v>
      </c>
      <c r="AC85" s="15">
        <v>360</v>
      </c>
      <c r="AD85" s="15">
        <v>200</v>
      </c>
      <c r="AE85" s="15">
        <v>380</v>
      </c>
    </row>
    <row r="86" spans="2:31" x14ac:dyDescent="0.25">
      <c r="B86" s="14" t="s">
        <v>112</v>
      </c>
      <c r="C86" t="s">
        <v>25</v>
      </c>
      <c r="D86">
        <v>26.718</v>
      </c>
      <c r="E86">
        <f t="shared" si="14"/>
        <v>180</v>
      </c>
      <c r="F86">
        <f t="shared" si="15"/>
        <v>200</v>
      </c>
      <c r="G86" s="14">
        <v>100</v>
      </c>
      <c r="H86" s="14">
        <v>200</v>
      </c>
      <c r="I86">
        <f t="shared" si="12"/>
        <v>0.65</v>
      </c>
      <c r="J86">
        <f t="shared" si="13"/>
        <v>1.3</v>
      </c>
      <c r="AA86" s="69" t="s">
        <v>100</v>
      </c>
      <c r="AB86" s="15">
        <v>180</v>
      </c>
      <c r="AC86" s="15">
        <v>180</v>
      </c>
      <c r="AD86" s="15">
        <v>225</v>
      </c>
      <c r="AE86" s="15">
        <v>180</v>
      </c>
    </row>
    <row r="87" spans="2:31" x14ac:dyDescent="0.25">
      <c r="B87" s="14" t="s">
        <v>113</v>
      </c>
      <c r="C87" t="s">
        <v>25</v>
      </c>
      <c r="D87">
        <v>46.847000000000001</v>
      </c>
      <c r="E87">
        <f t="shared" si="14"/>
        <v>180</v>
      </c>
      <c r="F87">
        <f t="shared" si="15"/>
        <v>225</v>
      </c>
      <c r="G87" s="14">
        <v>100</v>
      </c>
      <c r="H87" s="14">
        <v>200</v>
      </c>
      <c r="I87">
        <f t="shared" si="12"/>
        <v>1.3</v>
      </c>
      <c r="J87">
        <f t="shared" si="13"/>
        <v>2.6</v>
      </c>
      <c r="AA87" s="69" t="s">
        <v>46</v>
      </c>
      <c r="AB87" s="15">
        <v>180</v>
      </c>
      <c r="AC87" s="15">
        <v>180</v>
      </c>
      <c r="AD87" s="15">
        <v>200</v>
      </c>
      <c r="AE87" s="15">
        <v>180</v>
      </c>
    </row>
    <row r="88" spans="2:31" x14ac:dyDescent="0.25">
      <c r="B88" s="14" t="s">
        <v>114</v>
      </c>
      <c r="C88" t="s">
        <v>25</v>
      </c>
      <c r="D88">
        <v>100.175</v>
      </c>
      <c r="E88">
        <f t="shared" si="14"/>
        <v>180</v>
      </c>
      <c r="F88">
        <f t="shared" si="15"/>
        <v>225</v>
      </c>
      <c r="G88" s="14">
        <v>100</v>
      </c>
      <c r="H88" s="14">
        <v>100</v>
      </c>
      <c r="I88">
        <f t="shared" si="12"/>
        <v>2.1</v>
      </c>
      <c r="J88">
        <f t="shared" si="13"/>
        <v>2.1</v>
      </c>
      <c r="AA88" s="69" t="s">
        <v>49</v>
      </c>
      <c r="AB88" s="15">
        <v>180</v>
      </c>
      <c r="AC88" s="14" t="s">
        <v>284</v>
      </c>
      <c r="AD88" s="15">
        <v>200</v>
      </c>
      <c r="AE88" s="14" t="s">
        <v>284</v>
      </c>
    </row>
    <row r="89" spans="2:31" x14ac:dyDescent="0.25">
      <c r="B89" s="14" t="s">
        <v>115</v>
      </c>
      <c r="C89" t="s">
        <v>25</v>
      </c>
      <c r="D89">
        <v>26.718</v>
      </c>
      <c r="E89">
        <f t="shared" si="14"/>
        <v>180</v>
      </c>
      <c r="F89">
        <f t="shared" si="15"/>
        <v>180</v>
      </c>
      <c r="G89" s="14">
        <v>100</v>
      </c>
      <c r="H89" s="14">
        <v>100</v>
      </c>
      <c r="I89">
        <f t="shared" si="12"/>
        <v>0.65</v>
      </c>
      <c r="J89">
        <f t="shared" si="13"/>
        <v>0.65</v>
      </c>
      <c r="AA89" s="69" t="s">
        <v>103</v>
      </c>
      <c r="AB89" s="15">
        <v>180</v>
      </c>
      <c r="AC89" s="15">
        <v>180</v>
      </c>
      <c r="AD89" s="15">
        <v>225</v>
      </c>
      <c r="AE89" s="15">
        <v>200</v>
      </c>
    </row>
    <row r="90" spans="2:31" x14ac:dyDescent="0.25">
      <c r="B90" s="14" t="s">
        <v>116</v>
      </c>
      <c r="C90" t="s">
        <v>25</v>
      </c>
      <c r="D90">
        <v>46.847000000000001</v>
      </c>
      <c r="E90">
        <f t="shared" si="14"/>
        <v>180</v>
      </c>
      <c r="F90">
        <f t="shared" si="15"/>
        <v>250</v>
      </c>
      <c r="G90" s="14">
        <v>100</v>
      </c>
      <c r="H90" s="14">
        <v>200</v>
      </c>
      <c r="I90">
        <f t="shared" si="12"/>
        <v>1.3</v>
      </c>
      <c r="J90">
        <f t="shared" si="13"/>
        <v>2.6</v>
      </c>
      <c r="AA90" s="69" t="s">
        <v>53</v>
      </c>
      <c r="AB90" s="15">
        <v>180</v>
      </c>
      <c r="AC90" s="15">
        <v>180</v>
      </c>
      <c r="AD90" s="15">
        <v>225</v>
      </c>
      <c r="AE90" s="15">
        <v>180</v>
      </c>
    </row>
    <row r="91" spans="2:31" x14ac:dyDescent="0.25">
      <c r="B91" s="14" t="s">
        <v>117</v>
      </c>
      <c r="C91" t="s">
        <v>25</v>
      </c>
      <c r="D91">
        <v>53.328000000000003</v>
      </c>
      <c r="E91">
        <f t="shared" si="14"/>
        <v>180</v>
      </c>
      <c r="F91">
        <f t="shared" si="15"/>
        <v>225</v>
      </c>
      <c r="G91" s="14">
        <v>100</v>
      </c>
      <c r="H91" s="14">
        <v>100</v>
      </c>
      <c r="I91">
        <f t="shared" si="12"/>
        <v>1</v>
      </c>
      <c r="J91">
        <f t="shared" si="13"/>
        <v>1</v>
      </c>
      <c r="AA91" s="69" t="s">
        <v>56</v>
      </c>
      <c r="AB91" s="15">
        <v>180</v>
      </c>
      <c r="AC91" s="14" t="s">
        <v>284</v>
      </c>
      <c r="AD91" s="15">
        <v>250</v>
      </c>
      <c r="AE91" s="14" t="s">
        <v>284</v>
      </c>
    </row>
    <row r="92" spans="2:31" x14ac:dyDescent="0.25">
      <c r="B92" s="14" t="s">
        <v>118</v>
      </c>
      <c r="C92" t="s">
        <v>25</v>
      </c>
      <c r="D92">
        <v>46.847000000000001</v>
      </c>
      <c r="E92">
        <f t="shared" si="14"/>
        <v>180</v>
      </c>
      <c r="F92">
        <f t="shared" si="15"/>
        <v>200</v>
      </c>
      <c r="G92" s="14">
        <v>100</v>
      </c>
      <c r="H92" s="14">
        <v>100</v>
      </c>
      <c r="I92">
        <f t="shared" si="12"/>
        <v>1.3</v>
      </c>
      <c r="J92">
        <f t="shared" si="13"/>
        <v>1.3</v>
      </c>
      <c r="AA92" s="69" t="s">
        <v>107</v>
      </c>
      <c r="AB92" s="15">
        <v>180</v>
      </c>
      <c r="AC92" s="15">
        <v>180</v>
      </c>
      <c r="AD92" s="15">
        <v>250</v>
      </c>
      <c r="AE92" s="15">
        <v>200</v>
      </c>
    </row>
    <row r="93" spans="2:31" x14ac:dyDescent="0.25">
      <c r="B93" s="14" t="s">
        <v>119</v>
      </c>
      <c r="C93" t="s">
        <v>25</v>
      </c>
      <c r="D93">
        <v>26.718</v>
      </c>
      <c r="E93">
        <f t="shared" si="14"/>
        <v>180</v>
      </c>
      <c r="F93">
        <f t="shared" si="15"/>
        <v>180</v>
      </c>
      <c r="G93" s="14">
        <v>100</v>
      </c>
      <c r="H93" s="14">
        <v>100</v>
      </c>
      <c r="I93">
        <f t="shared" si="12"/>
        <v>0.65</v>
      </c>
      <c r="J93">
        <f t="shared" si="13"/>
        <v>0.65</v>
      </c>
      <c r="AA93" s="69" t="s">
        <v>60</v>
      </c>
      <c r="AB93" s="15">
        <v>360</v>
      </c>
      <c r="AC93" s="15">
        <v>180</v>
      </c>
      <c r="AD93" s="15">
        <v>400</v>
      </c>
      <c r="AE93" s="15">
        <v>200</v>
      </c>
    </row>
    <row r="94" spans="2:31" x14ac:dyDescent="0.25">
      <c r="B94" s="14" t="s">
        <v>120</v>
      </c>
      <c r="C94" t="s">
        <v>25</v>
      </c>
      <c r="D94">
        <v>46.847000000000001</v>
      </c>
      <c r="E94">
        <f t="shared" si="14"/>
        <v>180</v>
      </c>
      <c r="F94">
        <f t="shared" si="15"/>
        <v>225</v>
      </c>
      <c r="G94" s="14">
        <v>100</v>
      </c>
      <c r="H94" s="14">
        <v>100</v>
      </c>
      <c r="I94">
        <f t="shared" si="12"/>
        <v>1.3</v>
      </c>
      <c r="J94">
        <f t="shared" si="13"/>
        <v>1.3</v>
      </c>
      <c r="AA94" s="69" t="s">
        <v>111</v>
      </c>
      <c r="AB94" s="15">
        <v>180</v>
      </c>
      <c r="AC94" s="14" t="s">
        <v>284</v>
      </c>
      <c r="AD94" s="15">
        <v>250</v>
      </c>
      <c r="AE94" s="14" t="s">
        <v>284</v>
      </c>
    </row>
    <row r="95" spans="2:31" x14ac:dyDescent="0.25">
      <c r="B95" s="14" t="s">
        <v>121</v>
      </c>
      <c r="C95" t="s">
        <v>25</v>
      </c>
      <c r="D95">
        <v>100.175</v>
      </c>
      <c r="E95">
        <f t="shared" si="14"/>
        <v>180</v>
      </c>
      <c r="F95">
        <f t="shared" si="15"/>
        <v>220</v>
      </c>
      <c r="G95" s="14">
        <v>100</v>
      </c>
      <c r="H95" s="14">
        <v>100</v>
      </c>
      <c r="I95">
        <f t="shared" si="12"/>
        <v>2.1</v>
      </c>
      <c r="J95">
        <f t="shared" si="13"/>
        <v>2.1</v>
      </c>
      <c r="AA95" s="69" t="s">
        <v>63</v>
      </c>
      <c r="AB95" s="15">
        <v>180</v>
      </c>
      <c r="AC95" s="14" t="s">
        <v>284</v>
      </c>
      <c r="AD95" s="15">
        <v>200</v>
      </c>
      <c r="AE95" s="14" t="s">
        <v>284</v>
      </c>
    </row>
    <row r="96" spans="2:31" x14ac:dyDescent="0.25">
      <c r="B96" s="14" t="s">
        <v>122</v>
      </c>
      <c r="C96" t="s">
        <v>25</v>
      </c>
      <c r="D96">
        <v>26.718</v>
      </c>
      <c r="E96">
        <f t="shared" si="14"/>
        <v>180</v>
      </c>
      <c r="F96">
        <f t="shared" si="15"/>
        <v>180</v>
      </c>
      <c r="G96" s="14">
        <v>100</v>
      </c>
      <c r="H96" s="14">
        <v>100</v>
      </c>
      <c r="I96">
        <f t="shared" si="12"/>
        <v>0.65</v>
      </c>
      <c r="J96">
        <f t="shared" si="13"/>
        <v>0.65</v>
      </c>
      <c r="AA96" s="69" t="s">
        <v>114</v>
      </c>
      <c r="AB96" s="15">
        <v>180</v>
      </c>
      <c r="AC96" s="15">
        <v>360</v>
      </c>
      <c r="AD96" s="15">
        <v>225</v>
      </c>
      <c r="AE96" s="15">
        <v>380</v>
      </c>
    </row>
    <row r="97" spans="2:31" x14ac:dyDescent="0.25">
      <c r="B97" s="14" t="s">
        <v>123</v>
      </c>
      <c r="C97" t="s">
        <v>25</v>
      </c>
      <c r="D97">
        <v>46.847000000000001</v>
      </c>
      <c r="E97">
        <f t="shared" si="14"/>
        <v>180</v>
      </c>
      <c r="F97">
        <f t="shared" si="15"/>
        <v>180</v>
      </c>
      <c r="G97" s="14">
        <v>100</v>
      </c>
      <c r="H97" s="14">
        <v>100</v>
      </c>
      <c r="I97">
        <f t="shared" si="12"/>
        <v>1.3</v>
      </c>
      <c r="J97">
        <f t="shared" si="13"/>
        <v>1.3</v>
      </c>
      <c r="AA97" s="69" t="s">
        <v>67</v>
      </c>
      <c r="AB97" s="15">
        <v>180</v>
      </c>
      <c r="AC97" s="15">
        <v>180</v>
      </c>
      <c r="AD97" s="15">
        <v>200</v>
      </c>
      <c r="AE97" s="15">
        <v>180</v>
      </c>
    </row>
    <row r="98" spans="2:31" x14ac:dyDescent="0.25">
      <c r="B98" s="14" t="s">
        <v>124</v>
      </c>
      <c r="C98" t="s">
        <v>25</v>
      </c>
      <c r="D98">
        <v>53.328000000000003</v>
      </c>
      <c r="E98">
        <f t="shared" si="14"/>
        <v>180</v>
      </c>
      <c r="F98">
        <f t="shared" si="15"/>
        <v>200</v>
      </c>
      <c r="G98" s="14">
        <v>100</v>
      </c>
      <c r="H98" s="14">
        <v>100</v>
      </c>
      <c r="I98">
        <f t="shared" si="12"/>
        <v>1</v>
      </c>
      <c r="J98">
        <f t="shared" si="13"/>
        <v>1</v>
      </c>
      <c r="AA98" s="69" t="s">
        <v>118</v>
      </c>
      <c r="AB98" s="15">
        <v>180</v>
      </c>
      <c r="AC98" s="14" t="s">
        <v>284</v>
      </c>
      <c r="AD98" s="15">
        <v>200</v>
      </c>
      <c r="AE98" s="14" t="s">
        <v>284</v>
      </c>
    </row>
    <row r="99" spans="2:31" x14ac:dyDescent="0.25">
      <c r="B99" s="14" t="s">
        <v>125</v>
      </c>
      <c r="C99" t="s">
        <v>25</v>
      </c>
      <c r="D99">
        <v>46.847000000000001</v>
      </c>
      <c r="E99">
        <f t="shared" si="14"/>
        <v>180</v>
      </c>
      <c r="F99">
        <f t="shared" si="15"/>
        <v>180</v>
      </c>
      <c r="G99" s="14">
        <v>100</v>
      </c>
      <c r="H99" s="14">
        <v>100</v>
      </c>
      <c r="I99">
        <f t="shared" si="12"/>
        <v>1.3</v>
      </c>
      <c r="J99">
        <f t="shared" si="13"/>
        <v>1.3</v>
      </c>
      <c r="AA99" s="69" t="s">
        <v>70</v>
      </c>
      <c r="AB99" s="15">
        <v>180</v>
      </c>
      <c r="AC99" s="14" t="s">
        <v>284</v>
      </c>
      <c r="AD99" s="15">
        <v>180</v>
      </c>
      <c r="AE99" s="14" t="s">
        <v>284</v>
      </c>
    </row>
    <row r="100" spans="2:31" x14ac:dyDescent="0.25">
      <c r="B100" s="14" t="s">
        <v>126</v>
      </c>
      <c r="C100" t="s">
        <v>25</v>
      </c>
      <c r="D100">
        <v>26.718</v>
      </c>
      <c r="E100">
        <f t="shared" si="14"/>
        <v>180</v>
      </c>
      <c r="F100">
        <f t="shared" si="15"/>
        <v>180</v>
      </c>
      <c r="G100" s="14">
        <v>100</v>
      </c>
      <c r="H100" s="14">
        <v>100</v>
      </c>
      <c r="I100">
        <f t="shared" si="12"/>
        <v>0.65</v>
      </c>
      <c r="J100">
        <f t="shared" si="13"/>
        <v>0.65</v>
      </c>
      <c r="AA100" s="69" t="s">
        <v>121</v>
      </c>
      <c r="AB100" s="15">
        <v>180</v>
      </c>
      <c r="AC100" s="15">
        <v>360</v>
      </c>
      <c r="AD100" s="15">
        <v>220</v>
      </c>
      <c r="AE100" s="15">
        <v>380</v>
      </c>
    </row>
    <row r="101" spans="2:31" x14ac:dyDescent="0.25">
      <c r="B101" s="14" t="s">
        <v>129</v>
      </c>
      <c r="C101" t="s">
        <v>25</v>
      </c>
      <c r="D101">
        <v>53.328000000000003</v>
      </c>
      <c r="E101">
        <f t="shared" si="14"/>
        <v>180</v>
      </c>
      <c r="F101">
        <f t="shared" si="15"/>
        <v>180</v>
      </c>
      <c r="G101" s="14">
        <v>100</v>
      </c>
      <c r="H101" s="14">
        <v>100</v>
      </c>
      <c r="I101">
        <f t="shared" si="12"/>
        <v>1</v>
      </c>
      <c r="J101">
        <f t="shared" si="13"/>
        <v>1</v>
      </c>
      <c r="AA101" s="69" t="s">
        <v>72</v>
      </c>
      <c r="AB101" s="15">
        <v>180</v>
      </c>
      <c r="AC101" s="15">
        <v>180</v>
      </c>
      <c r="AD101" s="15">
        <v>180</v>
      </c>
      <c r="AE101" s="15">
        <v>180</v>
      </c>
    </row>
    <row r="102" spans="2:31" x14ac:dyDescent="0.25">
      <c r="B102" s="14" t="s">
        <v>130</v>
      </c>
      <c r="C102" t="s">
        <v>25</v>
      </c>
      <c r="D102">
        <v>46.847000000000001</v>
      </c>
      <c r="E102">
        <f t="shared" si="14"/>
        <v>180</v>
      </c>
      <c r="F102">
        <f t="shared" si="15"/>
        <v>180</v>
      </c>
      <c r="G102" s="14">
        <v>100</v>
      </c>
      <c r="H102" s="14">
        <v>100</v>
      </c>
      <c r="I102">
        <f t="shared" si="12"/>
        <v>1.3</v>
      </c>
      <c r="J102">
        <f t="shared" si="13"/>
        <v>1.3</v>
      </c>
      <c r="AA102" s="69" t="s">
        <v>125</v>
      </c>
      <c r="AB102" s="15">
        <v>180</v>
      </c>
      <c r="AC102" s="14" t="s">
        <v>284</v>
      </c>
      <c r="AD102" s="15">
        <v>180</v>
      </c>
      <c r="AE102" s="14" t="s">
        <v>284</v>
      </c>
    </row>
    <row r="103" spans="2:31" x14ac:dyDescent="0.25">
      <c r="AA103" s="69" t="s">
        <v>128</v>
      </c>
      <c r="AB103" s="14" t="s">
        <v>284</v>
      </c>
      <c r="AC103" s="15">
        <v>180</v>
      </c>
      <c r="AD103" s="14" t="s">
        <v>284</v>
      </c>
      <c r="AE103" s="15">
        <v>180</v>
      </c>
    </row>
  </sheetData>
  <sortState xmlns:xlrd2="http://schemas.microsoft.com/office/spreadsheetml/2017/richdata2" ref="X5:X7">
    <sortCondition ref="X4:X7"/>
  </sortState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"/>
  <sheetViews>
    <sheetView tabSelected="1" view="pageLayout" topLeftCell="A4" zoomScaleNormal="100" workbookViewId="0">
      <selection activeCell="C10" sqref="C10"/>
    </sheetView>
  </sheetViews>
  <sheetFormatPr defaultColWidth="9.140625" defaultRowHeight="15" x14ac:dyDescent="0.25"/>
  <cols>
    <col min="1" max="1" width="9.140625" style="205"/>
    <col min="2" max="2" width="35.140625" style="205" customWidth="1"/>
    <col min="3" max="3" width="79.85546875" style="205" customWidth="1"/>
    <col min="4" max="9" width="10.7109375" style="205" customWidth="1"/>
    <col min="10" max="16384" width="9.140625" style="205"/>
  </cols>
  <sheetData>
    <row r="1" spans="1:4" ht="37.5" customHeight="1" x14ac:dyDescent="0.25"/>
    <row r="2" spans="1:4" ht="37.5" customHeight="1" x14ac:dyDescent="0.25"/>
    <row r="3" spans="1:4" ht="37.5" customHeight="1" x14ac:dyDescent="0.25"/>
    <row r="4" spans="1:4" ht="29.25" customHeight="1" x14ac:dyDescent="0.25">
      <c r="A4" s="229" t="s">
        <v>441</v>
      </c>
      <c r="B4" s="229"/>
      <c r="C4" s="229"/>
      <c r="D4" s="229"/>
    </row>
    <row r="5" spans="1:4" ht="29.25" customHeight="1" x14ac:dyDescent="0.25">
      <c r="A5" s="229" t="s">
        <v>442</v>
      </c>
      <c r="B5" s="229"/>
      <c r="C5" s="229"/>
      <c r="D5" s="229"/>
    </row>
    <row r="6" spans="1:4" ht="29.25" customHeight="1" x14ac:dyDescent="0.25">
      <c r="A6" s="229" t="s">
        <v>443</v>
      </c>
      <c r="B6" s="229"/>
      <c r="C6" s="229"/>
      <c r="D6" s="229"/>
    </row>
    <row r="7" spans="1:4" ht="37.5" customHeight="1" x14ac:dyDescent="0.25"/>
    <row r="8" spans="1:4" ht="37.5" customHeight="1" x14ac:dyDescent="0.25"/>
    <row r="9" spans="1:4" ht="37.5" customHeight="1" x14ac:dyDescent="0.25"/>
    <row r="10" spans="1:4" ht="29.25" customHeight="1" x14ac:dyDescent="0.25">
      <c r="B10" s="206" t="s">
        <v>377</v>
      </c>
      <c r="C10" s="203"/>
    </row>
    <row r="11" spans="1:4" ht="37.5" customHeight="1" x14ac:dyDescent="0.25"/>
    <row r="12" spans="1:4" ht="37.5" customHeight="1" x14ac:dyDescent="0.25"/>
    <row r="13" spans="1:4" ht="37.5" customHeight="1" x14ac:dyDescent="0.25"/>
  </sheetData>
  <sheetProtection algorithmName="SHA-512" hashValue="3qz/7sJHu2wKEkpxztOnN+7EBEkfse+iJmFG/PIqbh9sMfBsfkLBhX5Nd3FoUlo86Y/EIbmjcrFf/guNrfvaGg==" saltValue="SveuygzFCoB55hFFSPBhPg==" spinCount="100000" sheet="1" objects="1" scenarios="1"/>
  <mergeCells count="3">
    <mergeCell ref="A4:D4"/>
    <mergeCell ref="A5:D5"/>
    <mergeCell ref="A6:D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51"/>
  <sheetViews>
    <sheetView view="pageLayout" zoomScaleNormal="100" zoomScaleSheetLayoutView="100" workbookViewId="0">
      <selection activeCell="A6" sqref="A6"/>
    </sheetView>
  </sheetViews>
  <sheetFormatPr defaultRowHeight="15" x14ac:dyDescent="0.25"/>
  <cols>
    <col min="1" max="1" width="9.140625" customWidth="1"/>
    <col min="2" max="2" width="35.140625" customWidth="1"/>
    <col min="3" max="6" width="13.5703125" customWidth="1"/>
    <col min="7" max="7" width="13.5703125" style="32" customWidth="1"/>
    <col min="8" max="9" width="13.5703125" customWidth="1"/>
    <col min="10" max="17" width="12.140625" customWidth="1"/>
    <col min="18" max="18" width="14.28515625" style="105" hidden="1" customWidth="1"/>
    <col min="19" max="19" width="1.7109375" customWidth="1"/>
  </cols>
  <sheetData>
    <row r="1" spans="1:18" ht="29.25" customHeight="1" x14ac:dyDescent="0.25">
      <c r="B1" s="127" t="s">
        <v>377</v>
      </c>
      <c r="C1" s="209">
        <f>Spoločnosť!$C$10</f>
        <v>0</v>
      </c>
      <c r="D1" s="207"/>
      <c r="E1" s="207"/>
      <c r="F1" s="207"/>
      <c r="G1" s="207"/>
      <c r="H1" s="207"/>
      <c r="I1" s="208"/>
      <c r="J1" s="204">
        <f>Spoločnosť!$C$10</f>
        <v>0</v>
      </c>
    </row>
    <row r="2" spans="1:18" x14ac:dyDescent="0.25">
      <c r="A2" s="21" t="s">
        <v>222</v>
      </c>
      <c r="B2" s="21" t="s">
        <v>223</v>
      </c>
      <c r="C2" s="128" t="s">
        <v>263</v>
      </c>
      <c r="D2" s="128" t="s">
        <v>264</v>
      </c>
      <c r="E2" s="128" t="s">
        <v>265</v>
      </c>
      <c r="F2" s="128" t="s">
        <v>266</v>
      </c>
      <c r="G2" s="129" t="s">
        <v>267</v>
      </c>
      <c r="H2" s="128" t="s">
        <v>268</v>
      </c>
      <c r="I2" s="128" t="s">
        <v>269</v>
      </c>
      <c r="J2" s="21" t="s">
        <v>270</v>
      </c>
      <c r="K2" s="21" t="s">
        <v>271</v>
      </c>
      <c r="L2" s="21" t="s">
        <v>272</v>
      </c>
      <c r="M2" s="21" t="s">
        <v>273</v>
      </c>
      <c r="N2" s="21" t="s">
        <v>274</v>
      </c>
      <c r="O2" s="21" t="s">
        <v>275</v>
      </c>
      <c r="P2" s="21" t="s">
        <v>276</v>
      </c>
      <c r="Q2" s="21" t="s">
        <v>277</v>
      </c>
      <c r="R2" s="21" t="s">
        <v>278</v>
      </c>
    </row>
    <row r="3" spans="1:18" ht="15" customHeight="1" x14ac:dyDescent="0.25">
      <c r="A3" s="226" t="s">
        <v>445</v>
      </c>
      <c r="B3" s="241" t="s">
        <v>444</v>
      </c>
      <c r="C3" s="233" t="s">
        <v>131</v>
      </c>
      <c r="D3" s="233"/>
      <c r="E3" s="233"/>
      <c r="F3" s="233"/>
      <c r="G3" s="233" t="s">
        <v>6</v>
      </c>
      <c r="H3" s="233"/>
      <c r="I3" s="233"/>
      <c r="J3" s="237" t="s">
        <v>341</v>
      </c>
      <c r="K3" s="238"/>
      <c r="L3" s="239"/>
      <c r="M3" s="233" t="s">
        <v>288</v>
      </c>
      <c r="N3" s="233"/>
      <c r="O3" s="233"/>
      <c r="P3" s="233"/>
      <c r="Q3" s="233"/>
      <c r="R3" s="103" t="s">
        <v>12</v>
      </c>
    </row>
    <row r="4" spans="1:18" x14ac:dyDescent="0.25">
      <c r="A4" s="226"/>
      <c r="B4" s="242"/>
      <c r="C4" s="1" t="s">
        <v>1</v>
      </c>
      <c r="D4" s="1" t="s">
        <v>2</v>
      </c>
      <c r="E4" s="1" t="s">
        <v>3</v>
      </c>
      <c r="F4" s="1" t="s">
        <v>8</v>
      </c>
      <c r="G4" s="230" t="s">
        <v>157</v>
      </c>
      <c r="H4" s="230"/>
      <c r="I4" s="9" t="s">
        <v>21</v>
      </c>
      <c r="J4" s="231" t="s">
        <v>13</v>
      </c>
      <c r="K4" s="232"/>
      <c r="L4" s="9" t="s">
        <v>21</v>
      </c>
      <c r="M4" s="234" t="s">
        <v>8</v>
      </c>
      <c r="N4" s="231" t="s">
        <v>158</v>
      </c>
      <c r="O4" s="236"/>
      <c r="P4" s="236"/>
      <c r="Q4" s="9" t="s">
        <v>21</v>
      </c>
      <c r="R4" s="104" t="s">
        <v>340</v>
      </c>
    </row>
    <row r="5" spans="1:18" x14ac:dyDescent="0.25">
      <c r="A5" s="226"/>
      <c r="B5" s="242"/>
      <c r="C5" s="1" t="s">
        <v>5</v>
      </c>
      <c r="D5" s="1" t="s">
        <v>5</v>
      </c>
      <c r="E5" s="1" t="s">
        <v>4</v>
      </c>
      <c r="F5" s="1" t="s">
        <v>20</v>
      </c>
      <c r="G5" s="2" t="s">
        <v>8</v>
      </c>
      <c r="H5" s="2" t="s">
        <v>9</v>
      </c>
      <c r="I5" s="1" t="s">
        <v>9</v>
      </c>
      <c r="J5" s="2" t="s">
        <v>8</v>
      </c>
      <c r="K5" s="2" t="s">
        <v>11</v>
      </c>
      <c r="L5" s="1" t="s">
        <v>11</v>
      </c>
      <c r="M5" s="235"/>
      <c r="N5" s="4" t="s">
        <v>159</v>
      </c>
      <c r="O5" s="2" t="s">
        <v>160</v>
      </c>
      <c r="P5" s="2" t="s">
        <v>161</v>
      </c>
      <c r="Q5" s="1" t="s">
        <v>132</v>
      </c>
      <c r="R5" s="104" t="s">
        <v>262</v>
      </c>
    </row>
    <row r="6" spans="1:18" x14ac:dyDescent="0.25">
      <c r="A6" s="199"/>
      <c r="B6" s="199"/>
      <c r="C6" s="199"/>
      <c r="D6" s="199"/>
      <c r="E6" s="8">
        <f>ROUNDDOWN(C6*70%,0)</f>
        <v>0</v>
      </c>
      <c r="F6" s="8">
        <f>C6+MAX(D6:E6)</f>
        <v>0</v>
      </c>
      <c r="G6" s="102">
        <f>C6</f>
        <v>0</v>
      </c>
      <c r="H6" s="199"/>
      <c r="I6" s="16">
        <f t="shared" ref="I6:I31" si="0">IFERROR(H6/C6,)</f>
        <v>0</v>
      </c>
      <c r="J6" s="199"/>
      <c r="K6" s="199"/>
      <c r="L6" s="16">
        <f>IFERROR(K6/J6,)</f>
        <v>0</v>
      </c>
      <c r="M6" s="200"/>
      <c r="N6" s="200"/>
      <c r="O6" s="200"/>
      <c r="P6" s="200"/>
      <c r="Q6" s="70">
        <f>IFERROR((0.8*N6+O6+0.7*P6)/M6,0%)</f>
        <v>0</v>
      </c>
      <c r="R6" s="202">
        <v>0</v>
      </c>
    </row>
    <row r="7" spans="1:18" x14ac:dyDescent="0.25">
      <c r="A7" s="199"/>
      <c r="B7" s="199"/>
      <c r="C7" s="199"/>
      <c r="D7" s="199"/>
      <c r="E7" s="8">
        <f t="shared" ref="E7:E14" si="1">ROUNDDOWN(C7*70%,0)</f>
        <v>0</v>
      </c>
      <c r="F7" s="8">
        <f t="shared" ref="F7:F31" si="2">C7+MAX(D7:E7)</f>
        <v>0</v>
      </c>
      <c r="G7" s="102">
        <f t="shared" ref="G7:G31" si="3">C7</f>
        <v>0</v>
      </c>
      <c r="H7" s="199"/>
      <c r="I7" s="16">
        <f t="shared" si="0"/>
        <v>0</v>
      </c>
      <c r="J7" s="199"/>
      <c r="K7" s="199"/>
      <c r="L7" s="16">
        <f t="shared" ref="L7:L14" si="4">IFERROR(K7/J7,)</f>
        <v>0</v>
      </c>
      <c r="M7" s="200"/>
      <c r="N7" s="200"/>
      <c r="O7" s="200"/>
      <c r="P7" s="200"/>
      <c r="Q7" s="70">
        <f t="shared" ref="Q7:Q31" si="5">IFERROR((0.8*N7+O7+0.7*P7)/M7,0%)</f>
        <v>0</v>
      </c>
      <c r="R7" s="202">
        <v>0</v>
      </c>
    </row>
    <row r="8" spans="1:18" x14ac:dyDescent="0.25">
      <c r="A8" s="199"/>
      <c r="B8" s="199"/>
      <c r="C8" s="199"/>
      <c r="D8" s="199"/>
      <c r="E8" s="8">
        <f t="shared" si="1"/>
        <v>0</v>
      </c>
      <c r="F8" s="8">
        <f t="shared" si="2"/>
        <v>0</v>
      </c>
      <c r="G8" s="102">
        <f t="shared" si="3"/>
        <v>0</v>
      </c>
      <c r="H8" s="199"/>
      <c r="I8" s="16">
        <f t="shared" si="0"/>
        <v>0</v>
      </c>
      <c r="J8" s="199"/>
      <c r="K8" s="199"/>
      <c r="L8" s="16">
        <f t="shared" si="4"/>
        <v>0</v>
      </c>
      <c r="M8" s="200"/>
      <c r="N8" s="200"/>
      <c r="O8" s="200"/>
      <c r="P8" s="200"/>
      <c r="Q8" s="70">
        <f t="shared" si="5"/>
        <v>0</v>
      </c>
      <c r="R8" s="202">
        <v>0</v>
      </c>
    </row>
    <row r="9" spans="1:18" x14ac:dyDescent="0.25">
      <c r="A9" s="199"/>
      <c r="B9" s="199"/>
      <c r="C9" s="199"/>
      <c r="D9" s="199"/>
      <c r="E9" s="8">
        <f t="shared" si="1"/>
        <v>0</v>
      </c>
      <c r="F9" s="8">
        <f t="shared" si="2"/>
        <v>0</v>
      </c>
      <c r="G9" s="102">
        <f t="shared" si="3"/>
        <v>0</v>
      </c>
      <c r="H9" s="199"/>
      <c r="I9" s="16">
        <f t="shared" si="0"/>
        <v>0</v>
      </c>
      <c r="J9" s="199"/>
      <c r="K9" s="199"/>
      <c r="L9" s="16">
        <f t="shared" si="4"/>
        <v>0</v>
      </c>
      <c r="M9" s="200"/>
      <c r="N9" s="200"/>
      <c r="O9" s="200"/>
      <c r="P9" s="200"/>
      <c r="Q9" s="70">
        <f t="shared" si="5"/>
        <v>0</v>
      </c>
      <c r="R9" s="202">
        <v>0</v>
      </c>
    </row>
    <row r="10" spans="1:18" x14ac:dyDescent="0.25">
      <c r="A10" s="199"/>
      <c r="B10" s="199"/>
      <c r="C10" s="199"/>
      <c r="D10" s="199"/>
      <c r="E10" s="8">
        <f t="shared" si="1"/>
        <v>0</v>
      </c>
      <c r="F10" s="8">
        <f t="shared" si="2"/>
        <v>0</v>
      </c>
      <c r="G10" s="102">
        <f t="shared" si="3"/>
        <v>0</v>
      </c>
      <c r="H10" s="199"/>
      <c r="I10" s="16">
        <f t="shared" si="0"/>
        <v>0</v>
      </c>
      <c r="J10" s="199"/>
      <c r="K10" s="199"/>
      <c r="L10" s="16">
        <f t="shared" si="4"/>
        <v>0</v>
      </c>
      <c r="M10" s="200"/>
      <c r="N10" s="200"/>
      <c r="O10" s="200"/>
      <c r="P10" s="200"/>
      <c r="Q10" s="70">
        <f t="shared" si="5"/>
        <v>0</v>
      </c>
      <c r="R10" s="202">
        <v>0</v>
      </c>
    </row>
    <row r="11" spans="1:18" x14ac:dyDescent="0.25">
      <c r="A11" s="199"/>
      <c r="B11" s="199"/>
      <c r="C11" s="199"/>
      <c r="D11" s="199"/>
      <c r="E11" s="8">
        <f t="shared" si="1"/>
        <v>0</v>
      </c>
      <c r="F11" s="8">
        <f t="shared" si="2"/>
        <v>0</v>
      </c>
      <c r="G11" s="102">
        <f t="shared" si="3"/>
        <v>0</v>
      </c>
      <c r="H11" s="199"/>
      <c r="I11" s="16">
        <f t="shared" si="0"/>
        <v>0</v>
      </c>
      <c r="J11" s="199"/>
      <c r="K11" s="199"/>
      <c r="L11" s="16">
        <f t="shared" si="4"/>
        <v>0</v>
      </c>
      <c r="M11" s="200"/>
      <c r="N11" s="200"/>
      <c r="O11" s="200"/>
      <c r="P11" s="200"/>
      <c r="Q11" s="70">
        <f t="shared" si="5"/>
        <v>0</v>
      </c>
      <c r="R11" s="202">
        <v>0</v>
      </c>
    </row>
    <row r="12" spans="1:18" x14ac:dyDescent="0.25">
      <c r="A12" s="199"/>
      <c r="B12" s="199"/>
      <c r="C12" s="199"/>
      <c r="D12" s="199"/>
      <c r="E12" s="8">
        <f t="shared" si="1"/>
        <v>0</v>
      </c>
      <c r="F12" s="8">
        <f t="shared" si="2"/>
        <v>0</v>
      </c>
      <c r="G12" s="102">
        <f t="shared" si="3"/>
        <v>0</v>
      </c>
      <c r="H12" s="199"/>
      <c r="I12" s="16">
        <f t="shared" si="0"/>
        <v>0</v>
      </c>
      <c r="J12" s="199"/>
      <c r="K12" s="199"/>
      <c r="L12" s="16">
        <f t="shared" si="4"/>
        <v>0</v>
      </c>
      <c r="M12" s="200"/>
      <c r="N12" s="200"/>
      <c r="O12" s="200"/>
      <c r="P12" s="200"/>
      <c r="Q12" s="70">
        <f t="shared" si="5"/>
        <v>0</v>
      </c>
      <c r="R12" s="202">
        <v>0</v>
      </c>
    </row>
    <row r="13" spans="1:18" x14ac:dyDescent="0.25">
      <c r="A13" s="199"/>
      <c r="B13" s="199"/>
      <c r="C13" s="199"/>
      <c r="D13" s="199"/>
      <c r="E13" s="8">
        <f t="shared" si="1"/>
        <v>0</v>
      </c>
      <c r="F13" s="8">
        <f t="shared" si="2"/>
        <v>0</v>
      </c>
      <c r="G13" s="102">
        <f t="shared" si="3"/>
        <v>0</v>
      </c>
      <c r="H13" s="199"/>
      <c r="I13" s="16">
        <f t="shared" si="0"/>
        <v>0</v>
      </c>
      <c r="J13" s="199"/>
      <c r="K13" s="199"/>
      <c r="L13" s="16">
        <f t="shared" si="4"/>
        <v>0</v>
      </c>
      <c r="M13" s="200"/>
      <c r="N13" s="200"/>
      <c r="O13" s="200"/>
      <c r="P13" s="200"/>
      <c r="Q13" s="70">
        <f t="shared" si="5"/>
        <v>0</v>
      </c>
      <c r="R13" s="202">
        <v>0</v>
      </c>
    </row>
    <row r="14" spans="1:18" x14ac:dyDescent="0.25">
      <c r="A14" s="199"/>
      <c r="B14" s="199"/>
      <c r="C14" s="199"/>
      <c r="D14" s="199"/>
      <c r="E14" s="8">
        <f t="shared" si="1"/>
        <v>0</v>
      </c>
      <c r="F14" s="8">
        <f t="shared" si="2"/>
        <v>0</v>
      </c>
      <c r="G14" s="102">
        <f t="shared" si="3"/>
        <v>0</v>
      </c>
      <c r="H14" s="199"/>
      <c r="I14" s="16">
        <f t="shared" si="0"/>
        <v>0</v>
      </c>
      <c r="J14" s="199"/>
      <c r="K14" s="199"/>
      <c r="L14" s="16">
        <f t="shared" si="4"/>
        <v>0</v>
      </c>
      <c r="M14" s="200"/>
      <c r="N14" s="200"/>
      <c r="O14" s="200"/>
      <c r="P14" s="200"/>
      <c r="Q14" s="70">
        <f t="shared" si="5"/>
        <v>0</v>
      </c>
      <c r="R14" s="202">
        <v>1</v>
      </c>
    </row>
    <row r="15" spans="1:18" x14ac:dyDescent="0.25">
      <c r="A15" s="199"/>
      <c r="B15" s="199"/>
      <c r="C15" s="199"/>
      <c r="D15" s="199"/>
      <c r="E15" s="8">
        <f>ROUNDDOWN(C15*70%,0)</f>
        <v>0</v>
      </c>
      <c r="F15" s="8">
        <f>C15+MAX(D15:E15)</f>
        <v>0</v>
      </c>
      <c r="G15" s="102">
        <f>C15</f>
        <v>0</v>
      </c>
      <c r="H15" s="199"/>
      <c r="I15" s="16">
        <f t="shared" si="0"/>
        <v>0</v>
      </c>
      <c r="J15" s="199"/>
      <c r="K15" s="199"/>
      <c r="L15" s="16">
        <f>IFERROR(K15/J15,)</f>
        <v>0</v>
      </c>
      <c r="M15" s="200"/>
      <c r="N15" s="200"/>
      <c r="O15" s="200"/>
      <c r="P15" s="200"/>
      <c r="Q15" s="70">
        <f>IFERROR((0.8*N15+O15+0.7*P15)/M15,0%)</f>
        <v>0</v>
      </c>
      <c r="R15" s="202">
        <v>1</v>
      </c>
    </row>
    <row r="16" spans="1:18" x14ac:dyDescent="0.25">
      <c r="A16" s="199"/>
      <c r="B16" s="199"/>
      <c r="C16" s="199"/>
      <c r="D16" s="199"/>
      <c r="E16" s="8">
        <f>ROUNDDOWN(C16*70%,0)</f>
        <v>0</v>
      </c>
      <c r="F16" s="8">
        <f>C16+MAX(D16:E16)</f>
        <v>0</v>
      </c>
      <c r="G16" s="102">
        <f>C16</f>
        <v>0</v>
      </c>
      <c r="H16" s="199"/>
      <c r="I16" s="16">
        <f t="shared" si="0"/>
        <v>0</v>
      </c>
      <c r="J16" s="199"/>
      <c r="K16" s="199"/>
      <c r="L16" s="16">
        <f>IFERROR(K16/J16,)</f>
        <v>0</v>
      </c>
      <c r="M16" s="200"/>
      <c r="N16" s="200"/>
      <c r="O16" s="200"/>
      <c r="P16" s="200"/>
      <c r="Q16" s="70">
        <f>IFERROR((0.8*N16+O16+0.7*P16)/M16,0%)</f>
        <v>0</v>
      </c>
      <c r="R16" s="202">
        <v>1</v>
      </c>
    </row>
    <row r="17" spans="1:18" x14ac:dyDescent="0.25">
      <c r="A17" s="199"/>
      <c r="B17" s="199"/>
      <c r="C17" s="199"/>
      <c r="D17" s="199"/>
      <c r="E17" s="8">
        <f>ROUNDDOWN(C17*70%,0)</f>
        <v>0</v>
      </c>
      <c r="F17" s="8">
        <f>C17+MAX(D17:E17)</f>
        <v>0</v>
      </c>
      <c r="G17" s="102">
        <f>C17</f>
        <v>0</v>
      </c>
      <c r="H17" s="199"/>
      <c r="I17" s="16">
        <f t="shared" si="0"/>
        <v>0</v>
      </c>
      <c r="J17" s="199"/>
      <c r="K17" s="199"/>
      <c r="L17" s="16">
        <f>IFERROR(K17/J17,)</f>
        <v>0</v>
      </c>
      <c r="M17" s="200"/>
      <c r="N17" s="200"/>
      <c r="O17" s="200"/>
      <c r="P17" s="200"/>
      <c r="Q17" s="70">
        <f>IFERROR((0.8*N17+O17+0.7*P17)/M17,0%)</f>
        <v>0</v>
      </c>
      <c r="R17" s="202">
        <v>1</v>
      </c>
    </row>
    <row r="18" spans="1:18" x14ac:dyDescent="0.25">
      <c r="A18" s="199"/>
      <c r="B18" s="199"/>
      <c r="C18" s="199"/>
      <c r="D18" s="199"/>
      <c r="E18" s="8">
        <f t="shared" ref="E18:E31" si="6">ROUNDDOWN(C18*70%,0)</f>
        <v>0</v>
      </c>
      <c r="F18" s="8">
        <f t="shared" si="2"/>
        <v>0</v>
      </c>
      <c r="G18" s="102">
        <f t="shared" si="3"/>
        <v>0</v>
      </c>
      <c r="H18" s="199"/>
      <c r="I18" s="16">
        <f t="shared" si="0"/>
        <v>0</v>
      </c>
      <c r="J18" s="199"/>
      <c r="K18" s="199"/>
      <c r="L18" s="16">
        <f t="shared" ref="L18:L31" si="7">IFERROR(K18/J18,)</f>
        <v>0</v>
      </c>
      <c r="M18" s="200"/>
      <c r="N18" s="200"/>
      <c r="O18" s="200"/>
      <c r="P18" s="200"/>
      <c r="Q18" s="70">
        <f t="shared" si="5"/>
        <v>0</v>
      </c>
      <c r="R18" s="202">
        <v>0</v>
      </c>
    </row>
    <row r="19" spans="1:18" x14ac:dyDescent="0.25">
      <c r="A19" s="199"/>
      <c r="B19" s="199"/>
      <c r="C19" s="199"/>
      <c r="D19" s="199"/>
      <c r="E19" s="8">
        <f t="shared" si="6"/>
        <v>0</v>
      </c>
      <c r="F19" s="8">
        <f t="shared" si="2"/>
        <v>0</v>
      </c>
      <c r="G19" s="102">
        <f t="shared" si="3"/>
        <v>0</v>
      </c>
      <c r="H19" s="199"/>
      <c r="I19" s="16">
        <f t="shared" si="0"/>
        <v>0</v>
      </c>
      <c r="J19" s="199"/>
      <c r="K19" s="199"/>
      <c r="L19" s="16">
        <f t="shared" si="7"/>
        <v>0</v>
      </c>
      <c r="M19" s="200"/>
      <c r="N19" s="200"/>
      <c r="O19" s="200"/>
      <c r="P19" s="200"/>
      <c r="Q19" s="70">
        <f t="shared" si="5"/>
        <v>0</v>
      </c>
      <c r="R19" s="202">
        <v>0</v>
      </c>
    </row>
    <row r="20" spans="1:18" x14ac:dyDescent="0.25">
      <c r="A20" s="199"/>
      <c r="B20" s="199"/>
      <c r="C20" s="199"/>
      <c r="D20" s="199"/>
      <c r="E20" s="8">
        <f t="shared" si="6"/>
        <v>0</v>
      </c>
      <c r="F20" s="8">
        <f t="shared" si="2"/>
        <v>0</v>
      </c>
      <c r="G20" s="102">
        <f t="shared" si="3"/>
        <v>0</v>
      </c>
      <c r="H20" s="199"/>
      <c r="I20" s="16">
        <f t="shared" si="0"/>
        <v>0</v>
      </c>
      <c r="J20" s="199"/>
      <c r="K20" s="199"/>
      <c r="L20" s="16">
        <f t="shared" si="7"/>
        <v>0</v>
      </c>
      <c r="M20" s="200"/>
      <c r="N20" s="200"/>
      <c r="O20" s="200"/>
      <c r="P20" s="200"/>
      <c r="Q20" s="70">
        <f t="shared" si="5"/>
        <v>0</v>
      </c>
      <c r="R20" s="202">
        <v>0</v>
      </c>
    </row>
    <row r="21" spans="1:18" x14ac:dyDescent="0.25">
      <c r="A21" s="199"/>
      <c r="B21" s="199"/>
      <c r="C21" s="199"/>
      <c r="D21" s="199"/>
      <c r="E21" s="8">
        <f t="shared" si="6"/>
        <v>0</v>
      </c>
      <c r="F21" s="8">
        <f t="shared" si="2"/>
        <v>0</v>
      </c>
      <c r="G21" s="102">
        <f t="shared" si="3"/>
        <v>0</v>
      </c>
      <c r="H21" s="199"/>
      <c r="I21" s="16">
        <f t="shared" si="0"/>
        <v>0</v>
      </c>
      <c r="J21" s="199"/>
      <c r="K21" s="199"/>
      <c r="L21" s="16">
        <f t="shared" si="7"/>
        <v>0</v>
      </c>
      <c r="M21" s="200"/>
      <c r="N21" s="200"/>
      <c r="O21" s="200"/>
      <c r="P21" s="200"/>
      <c r="Q21" s="70">
        <f t="shared" si="5"/>
        <v>0</v>
      </c>
      <c r="R21" s="202">
        <v>0</v>
      </c>
    </row>
    <row r="22" spans="1:18" x14ac:dyDescent="0.25">
      <c r="A22" s="199"/>
      <c r="B22" s="199"/>
      <c r="C22" s="199"/>
      <c r="D22" s="199"/>
      <c r="E22" s="8">
        <f t="shared" si="6"/>
        <v>0</v>
      </c>
      <c r="F22" s="8">
        <f t="shared" si="2"/>
        <v>0</v>
      </c>
      <c r="G22" s="102">
        <f t="shared" si="3"/>
        <v>0</v>
      </c>
      <c r="H22" s="199"/>
      <c r="I22" s="16">
        <f t="shared" si="0"/>
        <v>0</v>
      </c>
      <c r="J22" s="199"/>
      <c r="K22" s="199"/>
      <c r="L22" s="16">
        <f t="shared" si="7"/>
        <v>0</v>
      </c>
      <c r="M22" s="200"/>
      <c r="N22" s="200"/>
      <c r="O22" s="200"/>
      <c r="P22" s="200"/>
      <c r="Q22" s="70">
        <f t="shared" si="5"/>
        <v>0</v>
      </c>
      <c r="R22" s="202">
        <v>0</v>
      </c>
    </row>
    <row r="23" spans="1:18" x14ac:dyDescent="0.25">
      <c r="A23" s="199"/>
      <c r="B23" s="199"/>
      <c r="C23" s="199"/>
      <c r="D23" s="199"/>
      <c r="E23" s="8">
        <f t="shared" si="6"/>
        <v>0</v>
      </c>
      <c r="F23" s="8">
        <f t="shared" si="2"/>
        <v>0</v>
      </c>
      <c r="G23" s="102">
        <f t="shared" si="3"/>
        <v>0</v>
      </c>
      <c r="H23" s="199"/>
      <c r="I23" s="16">
        <f t="shared" si="0"/>
        <v>0</v>
      </c>
      <c r="J23" s="199"/>
      <c r="K23" s="199"/>
      <c r="L23" s="16">
        <f t="shared" si="7"/>
        <v>0</v>
      </c>
      <c r="M23" s="200"/>
      <c r="N23" s="200"/>
      <c r="O23" s="200"/>
      <c r="P23" s="200"/>
      <c r="Q23" s="70">
        <f t="shared" si="5"/>
        <v>0</v>
      </c>
      <c r="R23" s="202">
        <v>0</v>
      </c>
    </row>
    <row r="24" spans="1:18" x14ac:dyDescent="0.25">
      <c r="A24" s="199"/>
      <c r="B24" s="199"/>
      <c r="C24" s="199"/>
      <c r="D24" s="199"/>
      <c r="E24" s="8">
        <f t="shared" si="6"/>
        <v>0</v>
      </c>
      <c r="F24" s="8">
        <f t="shared" si="2"/>
        <v>0</v>
      </c>
      <c r="G24" s="102">
        <f t="shared" si="3"/>
        <v>0</v>
      </c>
      <c r="H24" s="199"/>
      <c r="I24" s="16">
        <f t="shared" si="0"/>
        <v>0</v>
      </c>
      <c r="J24" s="199"/>
      <c r="K24" s="199"/>
      <c r="L24" s="16">
        <f t="shared" si="7"/>
        <v>0</v>
      </c>
      <c r="M24" s="200"/>
      <c r="N24" s="200"/>
      <c r="O24" s="200"/>
      <c r="P24" s="200"/>
      <c r="Q24" s="70">
        <f t="shared" si="5"/>
        <v>0</v>
      </c>
      <c r="R24" s="202">
        <v>0</v>
      </c>
    </row>
    <row r="25" spans="1:18" x14ac:dyDescent="0.25">
      <c r="A25" s="199"/>
      <c r="B25" s="199"/>
      <c r="C25" s="199"/>
      <c r="D25" s="199"/>
      <c r="E25" s="8">
        <f t="shared" si="6"/>
        <v>0</v>
      </c>
      <c r="F25" s="8">
        <f t="shared" si="2"/>
        <v>0</v>
      </c>
      <c r="G25" s="102">
        <f t="shared" si="3"/>
        <v>0</v>
      </c>
      <c r="H25" s="199"/>
      <c r="I25" s="16">
        <f t="shared" si="0"/>
        <v>0</v>
      </c>
      <c r="J25" s="199"/>
      <c r="K25" s="199"/>
      <c r="L25" s="16">
        <f t="shared" si="7"/>
        <v>0</v>
      </c>
      <c r="M25" s="200"/>
      <c r="N25" s="200"/>
      <c r="O25" s="200"/>
      <c r="P25" s="200"/>
      <c r="Q25" s="70">
        <f t="shared" si="5"/>
        <v>0</v>
      </c>
      <c r="R25" s="202">
        <v>0</v>
      </c>
    </row>
    <row r="26" spans="1:18" x14ac:dyDescent="0.25">
      <c r="A26" s="199"/>
      <c r="B26" s="199"/>
      <c r="C26" s="199"/>
      <c r="D26" s="199"/>
      <c r="E26" s="8">
        <f t="shared" si="6"/>
        <v>0</v>
      </c>
      <c r="F26" s="8">
        <f t="shared" si="2"/>
        <v>0</v>
      </c>
      <c r="G26" s="102">
        <f t="shared" si="3"/>
        <v>0</v>
      </c>
      <c r="H26" s="199"/>
      <c r="I26" s="16">
        <f t="shared" si="0"/>
        <v>0</v>
      </c>
      <c r="J26" s="199"/>
      <c r="K26" s="199"/>
      <c r="L26" s="16">
        <f t="shared" si="7"/>
        <v>0</v>
      </c>
      <c r="M26" s="200"/>
      <c r="N26" s="200"/>
      <c r="O26" s="200"/>
      <c r="P26" s="200"/>
      <c r="Q26" s="70">
        <f t="shared" si="5"/>
        <v>0</v>
      </c>
      <c r="R26" s="202">
        <v>1</v>
      </c>
    </row>
    <row r="27" spans="1:18" x14ac:dyDescent="0.25">
      <c r="A27" s="199"/>
      <c r="B27" s="199"/>
      <c r="C27" s="199"/>
      <c r="D27" s="199"/>
      <c r="E27" s="8">
        <f t="shared" si="6"/>
        <v>0</v>
      </c>
      <c r="F27" s="8">
        <f t="shared" si="2"/>
        <v>0</v>
      </c>
      <c r="G27" s="102">
        <f t="shared" si="3"/>
        <v>0</v>
      </c>
      <c r="H27" s="199"/>
      <c r="I27" s="16">
        <f t="shared" si="0"/>
        <v>0</v>
      </c>
      <c r="J27" s="199"/>
      <c r="K27" s="199"/>
      <c r="L27" s="16">
        <f t="shared" si="7"/>
        <v>0</v>
      </c>
      <c r="M27" s="200"/>
      <c r="N27" s="200"/>
      <c r="O27" s="200"/>
      <c r="P27" s="200"/>
      <c r="Q27" s="70">
        <f t="shared" si="5"/>
        <v>0</v>
      </c>
      <c r="R27" s="202"/>
    </row>
    <row r="28" spans="1:18" x14ac:dyDescent="0.25">
      <c r="A28" s="199"/>
      <c r="B28" s="199"/>
      <c r="C28" s="199"/>
      <c r="D28" s="199"/>
      <c r="E28" s="8">
        <f t="shared" si="6"/>
        <v>0</v>
      </c>
      <c r="F28" s="8">
        <f t="shared" si="2"/>
        <v>0</v>
      </c>
      <c r="G28" s="102">
        <f t="shared" si="3"/>
        <v>0</v>
      </c>
      <c r="H28" s="199"/>
      <c r="I28" s="16">
        <f t="shared" si="0"/>
        <v>0</v>
      </c>
      <c r="J28" s="199"/>
      <c r="K28" s="199"/>
      <c r="L28" s="16">
        <f t="shared" si="7"/>
        <v>0</v>
      </c>
      <c r="M28" s="200"/>
      <c r="N28" s="200"/>
      <c r="O28" s="200"/>
      <c r="P28" s="200"/>
      <c r="Q28" s="70">
        <f t="shared" si="5"/>
        <v>0</v>
      </c>
      <c r="R28" s="202"/>
    </row>
    <row r="29" spans="1:18" x14ac:dyDescent="0.25">
      <c r="A29" s="199"/>
      <c r="B29" s="199"/>
      <c r="C29" s="199"/>
      <c r="D29" s="199"/>
      <c r="E29" s="8">
        <f t="shared" si="6"/>
        <v>0</v>
      </c>
      <c r="F29" s="8">
        <f t="shared" si="2"/>
        <v>0</v>
      </c>
      <c r="G29" s="102">
        <f t="shared" si="3"/>
        <v>0</v>
      </c>
      <c r="H29" s="199"/>
      <c r="I29" s="16">
        <f t="shared" si="0"/>
        <v>0</v>
      </c>
      <c r="J29" s="199"/>
      <c r="K29" s="199"/>
      <c r="L29" s="16">
        <f t="shared" si="7"/>
        <v>0</v>
      </c>
      <c r="M29" s="200"/>
      <c r="N29" s="200"/>
      <c r="O29" s="200"/>
      <c r="P29" s="200"/>
      <c r="Q29" s="70">
        <f t="shared" si="5"/>
        <v>0</v>
      </c>
      <c r="R29" s="202"/>
    </row>
    <row r="30" spans="1:18" x14ac:dyDescent="0.25">
      <c r="A30" s="199"/>
      <c r="B30" s="199"/>
      <c r="C30" s="199"/>
      <c r="D30" s="199"/>
      <c r="E30" s="8">
        <f t="shared" si="6"/>
        <v>0</v>
      </c>
      <c r="F30" s="8">
        <f t="shared" si="2"/>
        <v>0</v>
      </c>
      <c r="G30" s="102">
        <f t="shared" si="3"/>
        <v>0</v>
      </c>
      <c r="H30" s="199"/>
      <c r="I30" s="16">
        <f t="shared" si="0"/>
        <v>0</v>
      </c>
      <c r="J30" s="199"/>
      <c r="K30" s="199"/>
      <c r="L30" s="16">
        <f t="shared" si="7"/>
        <v>0</v>
      </c>
      <c r="M30" s="200"/>
      <c r="N30" s="200"/>
      <c r="O30" s="200"/>
      <c r="P30" s="200"/>
      <c r="Q30" s="70">
        <f t="shared" si="5"/>
        <v>0</v>
      </c>
      <c r="R30" s="202"/>
    </row>
    <row r="31" spans="1:18" x14ac:dyDescent="0.25">
      <c r="A31" s="199"/>
      <c r="B31" s="199"/>
      <c r="C31" s="199"/>
      <c r="D31" s="199"/>
      <c r="E31" s="8">
        <f t="shared" si="6"/>
        <v>0</v>
      </c>
      <c r="F31" s="8">
        <f t="shared" si="2"/>
        <v>0</v>
      </c>
      <c r="G31" s="102">
        <f t="shared" si="3"/>
        <v>0</v>
      </c>
      <c r="H31" s="199"/>
      <c r="I31" s="16">
        <f t="shared" si="0"/>
        <v>0</v>
      </c>
      <c r="J31" s="199"/>
      <c r="K31" s="199"/>
      <c r="L31" s="16">
        <f t="shared" si="7"/>
        <v>0</v>
      </c>
      <c r="M31" s="201"/>
      <c r="N31" s="201"/>
      <c r="O31" s="201"/>
      <c r="P31" s="201"/>
      <c r="Q31" s="16">
        <f t="shared" si="5"/>
        <v>0</v>
      </c>
      <c r="R31" s="202"/>
    </row>
    <row r="32" spans="1:18" ht="29.25" customHeight="1" x14ac:dyDescent="0.25"/>
    <row r="33" spans="1:18" s="153" customFormat="1" ht="24.75" customHeight="1" x14ac:dyDescent="0.25">
      <c r="B33" s="147" t="s">
        <v>394</v>
      </c>
      <c r="R33" s="161"/>
    </row>
    <row r="34" spans="1:18" s="214" customFormat="1" ht="33.75" customHeight="1" x14ac:dyDescent="0.25">
      <c r="A34" s="213" t="s">
        <v>396</v>
      </c>
      <c r="B34" s="240" t="s">
        <v>446</v>
      </c>
      <c r="C34" s="240"/>
      <c r="D34" s="240"/>
      <c r="E34" s="240"/>
      <c r="F34" s="240"/>
      <c r="G34" s="240"/>
      <c r="H34" s="240"/>
      <c r="I34" s="240"/>
      <c r="R34" s="215"/>
    </row>
    <row r="35" spans="1:18" s="153" customFormat="1" ht="112.5" customHeight="1" x14ac:dyDescent="0.25">
      <c r="A35" s="210"/>
      <c r="B35" s="240" t="s">
        <v>447</v>
      </c>
      <c r="C35" s="240"/>
      <c r="D35" s="240"/>
      <c r="E35" s="240"/>
      <c r="F35" s="240"/>
      <c r="G35" s="240"/>
      <c r="H35" s="240"/>
      <c r="I35" s="240"/>
      <c r="R35" s="161"/>
    </row>
    <row r="36" spans="1:18" s="153" customFormat="1" ht="33.75" customHeight="1" x14ac:dyDescent="0.25">
      <c r="A36" s="210" t="s">
        <v>397</v>
      </c>
      <c r="B36" s="240" t="s">
        <v>469</v>
      </c>
      <c r="C36" s="240"/>
      <c r="D36" s="240"/>
      <c r="E36" s="240"/>
      <c r="F36" s="240"/>
      <c r="G36" s="240"/>
      <c r="H36" s="240"/>
      <c r="I36" s="240"/>
      <c r="R36" s="161"/>
    </row>
    <row r="37" spans="1:18" s="153" customFormat="1" ht="18.75" customHeight="1" x14ac:dyDescent="0.25">
      <c r="A37" s="210" t="s">
        <v>398</v>
      </c>
      <c r="B37" s="211" t="s">
        <v>448</v>
      </c>
      <c r="R37" s="161"/>
    </row>
    <row r="38" spans="1:18" s="153" customFormat="1" ht="33.75" customHeight="1" x14ac:dyDescent="0.25">
      <c r="A38" s="210" t="s">
        <v>399</v>
      </c>
      <c r="B38" s="240" t="s">
        <v>449</v>
      </c>
      <c r="C38" s="240"/>
      <c r="D38" s="240"/>
      <c r="E38" s="240"/>
      <c r="F38" s="240"/>
      <c r="G38" s="240"/>
      <c r="H38" s="240"/>
      <c r="I38" s="240"/>
      <c r="R38" s="161"/>
    </row>
    <row r="39" spans="1:18" s="153" customFormat="1" ht="18.75" customHeight="1" x14ac:dyDescent="0.25">
      <c r="A39" s="210" t="s">
        <v>400</v>
      </c>
      <c r="B39" s="211" t="s">
        <v>450</v>
      </c>
      <c r="R39" s="161"/>
    </row>
    <row r="40" spans="1:18" s="153" customFormat="1" ht="33.75" customHeight="1" x14ac:dyDescent="0.25">
      <c r="A40" s="212" t="s">
        <v>401</v>
      </c>
      <c r="B40" s="240" t="s">
        <v>451</v>
      </c>
      <c r="C40" s="240"/>
      <c r="D40" s="240"/>
      <c r="E40" s="240"/>
      <c r="F40" s="240"/>
      <c r="G40" s="240"/>
      <c r="H40" s="240"/>
      <c r="I40" s="240"/>
      <c r="R40" s="161"/>
    </row>
    <row r="41" spans="1:18" s="153" customFormat="1" ht="18.75" customHeight="1" x14ac:dyDescent="0.25">
      <c r="A41" s="212" t="s">
        <v>402</v>
      </c>
      <c r="B41" s="211" t="s">
        <v>452</v>
      </c>
      <c r="R41" s="161"/>
    </row>
    <row r="42" spans="1:18" s="153" customFormat="1" ht="18.75" customHeight="1" x14ac:dyDescent="0.25">
      <c r="A42" s="212" t="s">
        <v>403</v>
      </c>
      <c r="B42" s="240" t="s">
        <v>453</v>
      </c>
      <c r="C42" s="240"/>
      <c r="D42" s="240"/>
      <c r="E42" s="240"/>
      <c r="F42" s="240"/>
      <c r="G42" s="240"/>
      <c r="H42" s="240"/>
      <c r="I42" s="240"/>
      <c r="R42" s="161"/>
    </row>
    <row r="43" spans="1:18" s="153" customFormat="1" ht="18.75" customHeight="1" x14ac:dyDescent="0.25">
      <c r="A43" s="212" t="s">
        <v>404</v>
      </c>
      <c r="B43" s="240" t="s">
        <v>454</v>
      </c>
      <c r="C43" s="240"/>
      <c r="D43" s="240"/>
      <c r="E43" s="240"/>
      <c r="F43" s="240"/>
      <c r="G43" s="240"/>
      <c r="H43" s="240"/>
      <c r="I43" s="240"/>
      <c r="R43" s="161"/>
    </row>
    <row r="44" spans="1:18" s="153" customFormat="1" ht="18.75" customHeight="1" x14ac:dyDescent="0.25">
      <c r="A44" s="212" t="s">
        <v>405</v>
      </c>
      <c r="B44" s="240" t="s">
        <v>455</v>
      </c>
      <c r="C44" s="240"/>
      <c r="D44" s="240"/>
      <c r="E44" s="240"/>
      <c r="F44" s="240"/>
      <c r="G44" s="240"/>
      <c r="H44" s="240"/>
      <c r="I44" s="240"/>
      <c r="R44" s="161"/>
    </row>
    <row r="45" spans="1:18" s="153" customFormat="1" ht="18.75" customHeight="1" x14ac:dyDescent="0.25">
      <c r="A45" s="212" t="s">
        <v>406</v>
      </c>
      <c r="B45" s="240" t="s">
        <v>456</v>
      </c>
      <c r="C45" s="240"/>
      <c r="D45" s="240"/>
      <c r="E45" s="240"/>
      <c r="F45" s="240"/>
      <c r="G45" s="240"/>
      <c r="H45" s="240"/>
      <c r="I45" s="240"/>
      <c r="R45" s="161"/>
    </row>
    <row r="46" spans="1:18" s="153" customFormat="1" ht="18.75" customHeight="1" x14ac:dyDescent="0.25">
      <c r="A46" s="212" t="s">
        <v>457</v>
      </c>
      <c r="B46" s="240" t="s">
        <v>458</v>
      </c>
      <c r="C46" s="240"/>
      <c r="D46" s="240"/>
      <c r="E46" s="240"/>
      <c r="F46" s="240"/>
      <c r="G46" s="240"/>
      <c r="H46" s="240"/>
      <c r="I46" s="240"/>
      <c r="R46" s="161"/>
    </row>
    <row r="47" spans="1:18" s="153" customFormat="1" ht="18.75" customHeight="1" x14ac:dyDescent="0.25">
      <c r="A47" s="212" t="s">
        <v>459</v>
      </c>
      <c r="B47" s="240" t="s">
        <v>460</v>
      </c>
      <c r="C47" s="240"/>
      <c r="D47" s="240"/>
      <c r="E47" s="240"/>
      <c r="F47" s="240"/>
      <c r="G47" s="240"/>
      <c r="H47" s="240"/>
      <c r="I47" s="240"/>
      <c r="R47" s="161"/>
    </row>
    <row r="48" spans="1:18" s="153" customFormat="1" ht="33.75" customHeight="1" x14ac:dyDescent="0.25">
      <c r="A48" s="212" t="s">
        <v>461</v>
      </c>
      <c r="B48" s="240" t="s">
        <v>462</v>
      </c>
      <c r="C48" s="240"/>
      <c r="D48" s="240"/>
      <c r="E48" s="240"/>
      <c r="F48" s="240"/>
      <c r="G48" s="240"/>
      <c r="H48" s="240"/>
      <c r="I48" s="240"/>
      <c r="R48" s="161"/>
    </row>
    <row r="49" spans="1:18" s="153" customFormat="1" ht="33" customHeight="1" x14ac:dyDescent="0.25">
      <c r="A49" s="212" t="s">
        <v>463</v>
      </c>
      <c r="B49" s="240" t="s">
        <v>464</v>
      </c>
      <c r="C49" s="240"/>
      <c r="D49" s="240"/>
      <c r="E49" s="240"/>
      <c r="F49" s="240"/>
      <c r="G49" s="240"/>
      <c r="H49" s="240"/>
      <c r="I49" s="240"/>
      <c r="R49" s="161"/>
    </row>
    <row r="50" spans="1:18" s="153" customFormat="1" ht="33.75" customHeight="1" x14ac:dyDescent="0.25">
      <c r="A50" s="212" t="s">
        <v>465</v>
      </c>
      <c r="B50" s="243" t="s">
        <v>466</v>
      </c>
      <c r="C50" s="243"/>
      <c r="D50" s="243"/>
      <c r="E50" s="243"/>
      <c r="F50" s="243"/>
      <c r="G50" s="243"/>
      <c r="H50" s="243"/>
      <c r="I50" s="243"/>
      <c r="R50" s="161"/>
    </row>
    <row r="51" spans="1:18" s="153" customFormat="1" ht="33.75" customHeight="1" x14ac:dyDescent="0.25">
      <c r="A51" s="212" t="s">
        <v>467</v>
      </c>
      <c r="B51" s="240" t="s">
        <v>468</v>
      </c>
      <c r="C51" s="240"/>
      <c r="D51" s="240"/>
      <c r="E51" s="240"/>
      <c r="F51" s="240"/>
      <c r="G51" s="240"/>
      <c r="H51" s="240"/>
      <c r="I51" s="240"/>
      <c r="R51" s="161"/>
    </row>
  </sheetData>
  <sheetProtection algorithmName="SHA-512" hashValue="g7WlueQELlSexHh0OgS/8hJ2sl1/V9VCHABwmgpDVQBSb3k+tk0EfiPiiKRR9xkQIOURCLJOfgWoQyN2JBJvbg==" saltValue="Led8QbJUTQaHu8Ea0143rg==" spinCount="100000" sheet="1" objects="1" scenarios="1"/>
  <mergeCells count="25">
    <mergeCell ref="B51:I51"/>
    <mergeCell ref="B46:I46"/>
    <mergeCell ref="B47:I47"/>
    <mergeCell ref="B48:I48"/>
    <mergeCell ref="B49:I49"/>
    <mergeCell ref="B50:I50"/>
    <mergeCell ref="B40:I40"/>
    <mergeCell ref="B42:I42"/>
    <mergeCell ref="B43:I43"/>
    <mergeCell ref="B44:I44"/>
    <mergeCell ref="B45:I45"/>
    <mergeCell ref="B34:I34"/>
    <mergeCell ref="B35:I35"/>
    <mergeCell ref="B36:I36"/>
    <mergeCell ref="B38:I38"/>
    <mergeCell ref="B3:B5"/>
    <mergeCell ref="A3:A5"/>
    <mergeCell ref="G4:H4"/>
    <mergeCell ref="J4:K4"/>
    <mergeCell ref="G3:I3"/>
    <mergeCell ref="M3:Q3"/>
    <mergeCell ref="M4:M5"/>
    <mergeCell ref="N4:P4"/>
    <mergeCell ref="J3:L3"/>
    <mergeCell ref="C3:F3"/>
  </mergeCells>
  <phoneticPr fontId="4" type="noConversion"/>
  <pageMargins left="0.25" right="0.25" top="0.75" bottom="0.75" header="0.3" footer="0.3"/>
  <pageSetup paperSize="9" orientation="landscape" r:id="rId1"/>
  <colBreaks count="1" manualBreakCount="1">
    <brk id="9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F113"/>
  <sheetViews>
    <sheetView view="pageLayout" zoomScaleNormal="100" zoomScaleSheetLayoutView="100" workbookViewId="0">
      <selection activeCell="B15" sqref="B15"/>
    </sheetView>
  </sheetViews>
  <sheetFormatPr defaultColWidth="8.5703125" defaultRowHeight="15" x14ac:dyDescent="0.25"/>
  <cols>
    <col min="1" max="3" width="10.28515625" customWidth="1"/>
    <col min="4" max="10" width="13.28515625" customWidth="1"/>
    <col min="11" max="11" width="14.7109375" customWidth="1"/>
    <col min="12" max="12" width="14.42578125" hidden="1" customWidth="1"/>
    <col min="13" max="14" width="12.5703125" hidden="1" customWidth="1"/>
    <col min="15" max="15" width="1.7109375" customWidth="1"/>
  </cols>
  <sheetData>
    <row r="1" spans="1:32" ht="24.75" customHeight="1" x14ac:dyDescent="0.3">
      <c r="A1" s="127" t="s">
        <v>377</v>
      </c>
      <c r="D1" s="209">
        <f>Spoločnosť!$C$10</f>
        <v>0</v>
      </c>
      <c r="I1" s="24" t="s">
        <v>433</v>
      </c>
      <c r="J1" s="24" t="s">
        <v>474</v>
      </c>
    </row>
    <row r="2" spans="1:32" s="13" customFormat="1" ht="18.75" customHeight="1" x14ac:dyDescent="0.25">
      <c r="C2" s="248" t="s">
        <v>133</v>
      </c>
      <c r="D2" s="248"/>
      <c r="E2" s="244" t="s">
        <v>134</v>
      </c>
      <c r="F2" s="245"/>
      <c r="G2" s="244" t="s">
        <v>342</v>
      </c>
      <c r="H2" s="245"/>
      <c r="I2" s="21" t="s">
        <v>6</v>
      </c>
      <c r="J2" s="21" t="s">
        <v>10</v>
      </c>
      <c r="K2" s="21" t="s">
        <v>14</v>
      </c>
      <c r="L2" s="182" t="s">
        <v>12</v>
      </c>
      <c r="M2" s="244" t="s">
        <v>248</v>
      </c>
      <c r="N2" s="245"/>
    </row>
    <row r="3" spans="1:32" ht="15" customHeight="1" x14ac:dyDescent="0.25">
      <c r="C3" s="249" t="s">
        <v>428</v>
      </c>
      <c r="D3" s="249"/>
      <c r="E3" s="185" t="s">
        <v>430</v>
      </c>
      <c r="F3" s="198">
        <f>'Vyhodnotenie II+III'!D15</f>
        <v>0.95</v>
      </c>
      <c r="G3" s="185" t="s">
        <v>430</v>
      </c>
      <c r="H3" s="198">
        <f>'Vyhodnotenie II+III'!E15</f>
        <v>0.6</v>
      </c>
      <c r="I3" s="198">
        <f>'Vyhodnotenie II+III'!F15</f>
        <v>0.3</v>
      </c>
      <c r="J3" s="198">
        <f>'Vyhodnotenie II+III'!G15</f>
        <v>0.3</v>
      </c>
      <c r="K3" s="198">
        <f>'Vyhodnotenie II+III'!H15</f>
        <v>0</v>
      </c>
      <c r="L3" s="163"/>
      <c r="M3" s="162"/>
      <c r="N3" s="165"/>
    </row>
    <row r="4" spans="1:32" x14ac:dyDescent="0.25">
      <c r="A4" s="13" t="s">
        <v>135</v>
      </c>
      <c r="C4" s="250" t="s">
        <v>426</v>
      </c>
      <c r="D4" s="178" t="s">
        <v>142</v>
      </c>
      <c r="E4" s="178"/>
      <c r="F4" s="31">
        <f>SUM(F15:F63)/ROWS(F15:F63)</f>
        <v>0</v>
      </c>
      <c r="G4" s="1"/>
      <c r="H4" s="31">
        <f t="shared" ref="H4:K4" si="0">SUM(H15:H63)/ROWS(H15:H63)</f>
        <v>0</v>
      </c>
      <c r="I4" s="31">
        <f t="shared" si="0"/>
        <v>0</v>
      </c>
      <c r="J4" s="31">
        <f t="shared" si="0"/>
        <v>0</v>
      </c>
      <c r="K4" s="31">
        <f t="shared" si="0"/>
        <v>0</v>
      </c>
      <c r="L4" s="31">
        <f t="shared" ref="L4:M4" si="1">SUM(L15:L63)/ROWS(L15:L63)</f>
        <v>0</v>
      </c>
      <c r="M4" s="31">
        <f t="shared" si="1"/>
        <v>0</v>
      </c>
      <c r="N4" s="94">
        <f>SUM(N15:N63)</f>
        <v>0</v>
      </c>
    </row>
    <row r="5" spans="1:32" s="32" customFormat="1" x14ac:dyDescent="0.25">
      <c r="C5" s="250"/>
      <c r="D5" s="2" t="s">
        <v>427</v>
      </c>
      <c r="E5" s="2"/>
      <c r="F5" s="33">
        <f>SUMPRODUCT(F15:F63,D15:D63)/SUM(D15:D63)</f>
        <v>0</v>
      </c>
      <c r="G5" s="164"/>
      <c r="H5" s="33">
        <f>SUMPRODUCT(H15:H63,D15:D63)/SUM(D15:D63)</f>
        <v>0</v>
      </c>
      <c r="I5" s="33">
        <f>SUMPRODUCT(I15:I63,D15:D63)/SUM(D15:D63)</f>
        <v>0</v>
      </c>
      <c r="J5" s="33">
        <f>SUMPRODUCT(J15:J63,D15:D63)/SUM(D15:D63)</f>
        <v>0</v>
      </c>
      <c r="K5" s="33">
        <f>SUMPRODUCT(K15:K63,D15:D63)/SUM(D15:D63)</f>
        <v>0</v>
      </c>
      <c r="L5" s="33">
        <f>SUMPRODUCT(L15:L63,D15:D63)/SUM(D15:D63)</f>
        <v>0</v>
      </c>
      <c r="M5" s="33">
        <f>SUMPRODUCT(M15:M63,D15:D63)/SUM(D15:D63)</f>
        <v>0</v>
      </c>
      <c r="N5" s="94">
        <f>SUM(N15:N63)</f>
        <v>0</v>
      </c>
    </row>
    <row r="6" spans="1:32" x14ac:dyDescent="0.25">
      <c r="C6" s="251"/>
      <c r="D6" s="1" t="s">
        <v>480</v>
      </c>
      <c r="E6" s="183" t="str">
        <f>COUNTIF(F15:F63,"&gt;=95%")&amp;"/"&amp;ROWS(F15:F63)&amp;" vlakov"</f>
        <v>0/49 vlakov</v>
      </c>
      <c r="F6" s="31">
        <f>SUMPRODUCT(F15:F63,D15:D63,C15:C63)/SUMPRODUCT(D15:D63,C15:C63)</f>
        <v>0</v>
      </c>
      <c r="G6" s="183" t="str">
        <f>COUNTIF(H15:H63,"&gt;=60%")&amp;"/"&amp;ROWS(H15:H63)&amp;" vlakov"</f>
        <v>0/49 vlakov</v>
      </c>
      <c r="H6" s="31">
        <f>SUMPRODUCT(H15:H63,D15:D63,C15:C63)/SUMPRODUCT(D15:D63,C15:C63)</f>
        <v>0</v>
      </c>
      <c r="I6" s="31">
        <f>SUMPRODUCT(I15:I63,D15:D63,C15:C63)/SUMPRODUCT(D15:D63,C15:C63)</f>
        <v>0</v>
      </c>
      <c r="J6" s="31">
        <f>SUMPRODUCT(J15:J63,D15:D63,C15:C63)/SUMPRODUCT(D15:D63,C15:C63)</f>
        <v>0</v>
      </c>
      <c r="K6" s="31">
        <f>SUMPRODUCT(K15:K63,D15:D63,C15:C63)/SUMPRODUCT(D15:D63,C15:C63)</f>
        <v>0</v>
      </c>
      <c r="L6" s="31">
        <f>SUMPRODUCT(L15:L63,D15:D63,C15:C63)/SUMPRODUCT(D15:D63,C15:C63)</f>
        <v>0</v>
      </c>
      <c r="M6" s="31">
        <f>SUMPRODUCT(M15:M63,D15:D63,C15:C63)/SUMPRODUCT(D15:D63,C15:C63)</f>
        <v>0</v>
      </c>
      <c r="N6" s="94">
        <f>SUM(N15:N63)</f>
        <v>0</v>
      </c>
    </row>
    <row r="7" spans="1:32" x14ac:dyDescent="0.25">
      <c r="A7" s="180" t="s">
        <v>136</v>
      </c>
      <c r="C7" s="250" t="s">
        <v>426</v>
      </c>
      <c r="D7" s="178" t="s">
        <v>142</v>
      </c>
      <c r="E7" s="178"/>
      <c r="F7" s="31">
        <f>SUM(F65:F113)/ROWS(F65:F113)</f>
        <v>0</v>
      </c>
      <c r="G7" s="1"/>
      <c r="H7" s="31">
        <f t="shared" ref="H7:K7" si="2">SUM(H65:H113)/ROWS(H65:H113)</f>
        <v>0</v>
      </c>
      <c r="I7" s="31">
        <f t="shared" si="2"/>
        <v>0</v>
      </c>
      <c r="J7" s="31">
        <f t="shared" si="2"/>
        <v>0</v>
      </c>
      <c r="K7" s="31">
        <f t="shared" si="2"/>
        <v>0</v>
      </c>
      <c r="L7" s="31">
        <f t="shared" ref="L7:M7" si="3">SUM(L65:L113)/ROWS(L65:L113)</f>
        <v>0</v>
      </c>
      <c r="M7" s="31">
        <f t="shared" si="3"/>
        <v>0</v>
      </c>
      <c r="N7" s="94">
        <f>SUM(N65:N113)</f>
        <v>0</v>
      </c>
      <c r="O7" s="91"/>
    </row>
    <row r="8" spans="1:32" s="32" customFormat="1" x14ac:dyDescent="0.25">
      <c r="C8" s="250"/>
      <c r="D8" s="2" t="s">
        <v>427</v>
      </c>
      <c r="E8" s="2"/>
      <c r="F8" s="33">
        <f>SUMPRODUCT(F65:F113,D65:D113)/SUM(D65:D113)</f>
        <v>0</v>
      </c>
      <c r="G8" s="164"/>
      <c r="H8" s="33">
        <f>SUMPRODUCT(H65:H113,D65:D113)/SUM(D65:D113)</f>
        <v>0</v>
      </c>
      <c r="I8" s="33">
        <f>SUMPRODUCT(I65:I113,D65:D113)/SUM(D65:D113)</f>
        <v>0</v>
      </c>
      <c r="J8" s="33">
        <f>SUMPRODUCT(J65:J113,D65:D113)/SUM(D65:D113)</f>
        <v>0</v>
      </c>
      <c r="K8" s="33">
        <f>SUMPRODUCT(K65:K113,D65:D113)/SUM(D65:D113)</f>
        <v>0</v>
      </c>
      <c r="L8" s="33">
        <f>SUMPRODUCT(L65:L113,D65:D113)/SUM(D65:D113)</f>
        <v>0</v>
      </c>
      <c r="M8" s="33">
        <f>SUMPRODUCT(M65:M113,D65:D113)/SUM(D65:D113)</f>
        <v>0</v>
      </c>
      <c r="N8" s="94">
        <f>SUM(N65:N113)</f>
        <v>0</v>
      </c>
      <c r="O8" s="91"/>
      <c r="P8"/>
    </row>
    <row r="9" spans="1:32" x14ac:dyDescent="0.25">
      <c r="C9" s="251"/>
      <c r="D9" s="1" t="s">
        <v>480</v>
      </c>
      <c r="E9" s="183" t="str">
        <f>COUNTIF(F65:F113,"&gt;=95%")&amp;"/"&amp;ROWS(F65:F113)&amp;" vlakov"</f>
        <v>0/49 vlakov</v>
      </c>
      <c r="F9" s="31">
        <f>SUMPRODUCT(F65:F113,D65:D113,C65:C113)/SUMPRODUCT(D65:D113,C65:C113)</f>
        <v>0</v>
      </c>
      <c r="G9" s="183" t="str">
        <f>COUNTIF(H65:H113,"&gt;=60%")&amp;"/"&amp;ROWS(H65:H113)&amp;" vlakov"</f>
        <v>0/49 vlakov</v>
      </c>
      <c r="H9" s="31">
        <f>SUMPRODUCT(H65:H113,D65:D113,C65:C113)/SUMPRODUCT(D65:D113,C65:C113)</f>
        <v>0</v>
      </c>
      <c r="I9" s="31">
        <f>SUMPRODUCT(I65:I113,D65:D113,C65:C113)/SUMPRODUCT(D65:D113,C65:C113)</f>
        <v>0</v>
      </c>
      <c r="J9" s="31">
        <f>SUMPRODUCT(J65:J113,D65:D113,C65:C113)/SUMPRODUCT(D65:D113,C65:C113)</f>
        <v>0</v>
      </c>
      <c r="K9" s="31">
        <f>SUMPRODUCT(K65:K113,D65:D113,C65:C113)/SUMPRODUCT(D65:D113,C65:C113)</f>
        <v>0</v>
      </c>
      <c r="L9" s="31">
        <f>SUMPRODUCT(L65:L113,D65:D113,C65:C113)/SUMPRODUCT(D65:D113,C65:C113)</f>
        <v>0</v>
      </c>
      <c r="M9" s="31">
        <f>SUMPRODUCT(M65:M113,D65:D113,C65:C113)/SUMPRODUCT(D65:D113,C65:C113)</f>
        <v>0</v>
      </c>
      <c r="N9" s="94">
        <f>SUM(N65:N113)</f>
        <v>0</v>
      </c>
      <c r="O9" s="14"/>
    </row>
    <row r="10" spans="1:32" ht="22.5" customHeight="1" x14ac:dyDescent="0.25">
      <c r="A10" s="179" t="s">
        <v>431</v>
      </c>
      <c r="B10" t="s">
        <v>434</v>
      </c>
      <c r="C10" s="186"/>
      <c r="D10" s="30"/>
      <c r="E10" s="187"/>
      <c r="F10" s="188"/>
      <c r="G10" s="187"/>
      <c r="H10" s="188"/>
      <c r="I10" s="188"/>
      <c r="J10" s="188"/>
      <c r="K10" s="188"/>
      <c r="L10" s="188"/>
      <c r="M10" s="188"/>
      <c r="N10" s="189"/>
      <c r="O10" s="14"/>
    </row>
    <row r="11" spans="1:32" ht="18" customHeight="1" x14ac:dyDescent="0.25">
      <c r="A11" s="13" t="s">
        <v>135</v>
      </c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</row>
    <row r="12" spans="1:32" ht="15" customHeight="1" x14ac:dyDescent="0.25">
      <c r="A12" s="233" t="s">
        <v>15</v>
      </c>
      <c r="B12" s="1" t="s">
        <v>16</v>
      </c>
      <c r="C12" s="246" t="s">
        <v>23</v>
      </c>
      <c r="D12" s="226" t="s">
        <v>154</v>
      </c>
      <c r="E12" s="231" t="s">
        <v>17</v>
      </c>
      <c r="F12" s="236"/>
      <c r="G12" s="233" t="s">
        <v>342</v>
      </c>
      <c r="H12" s="233"/>
      <c r="I12" s="7" t="s">
        <v>6</v>
      </c>
      <c r="J12" s="7" t="s">
        <v>10</v>
      </c>
      <c r="K12" s="3" t="s">
        <v>14</v>
      </c>
      <c r="L12" s="3" t="s">
        <v>12</v>
      </c>
      <c r="M12" s="231" t="s">
        <v>248</v>
      </c>
      <c r="N12" s="232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25"/>
    </row>
    <row r="13" spans="1:32" ht="15" customHeight="1" x14ac:dyDescent="0.25">
      <c r="A13" s="233"/>
      <c r="B13" s="226" t="s">
        <v>0</v>
      </c>
      <c r="C13" s="247"/>
      <c r="D13" s="226"/>
      <c r="E13" s="3" t="s">
        <v>8</v>
      </c>
      <c r="F13" s="3" t="s">
        <v>152</v>
      </c>
      <c r="G13" s="101" t="s">
        <v>344</v>
      </c>
      <c r="H13" s="101" t="s">
        <v>19</v>
      </c>
      <c r="I13" s="5" t="s">
        <v>345</v>
      </c>
      <c r="J13" s="4" t="s">
        <v>21</v>
      </c>
      <c r="K13" s="4" t="s">
        <v>156</v>
      </c>
      <c r="L13" s="5" t="s">
        <v>261</v>
      </c>
      <c r="M13" s="3" t="s">
        <v>257</v>
      </c>
      <c r="N13" s="3" t="s">
        <v>316</v>
      </c>
      <c r="R13" s="92"/>
      <c r="T13" s="92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</row>
    <row r="14" spans="1:32" x14ac:dyDescent="0.25">
      <c r="A14" s="233"/>
      <c r="B14" s="226"/>
      <c r="C14" s="6" t="s">
        <v>22</v>
      </c>
      <c r="D14" s="3" t="s">
        <v>155</v>
      </c>
      <c r="E14" s="3" t="s">
        <v>20</v>
      </c>
      <c r="F14" s="4" t="s">
        <v>151</v>
      </c>
      <c r="G14" s="101" t="s">
        <v>343</v>
      </c>
      <c r="H14" s="101" t="s">
        <v>18</v>
      </c>
      <c r="I14" s="5" t="s">
        <v>346</v>
      </c>
      <c r="J14" s="4" t="s">
        <v>347</v>
      </c>
      <c r="K14" s="11" t="s">
        <v>132</v>
      </c>
      <c r="L14" s="11" t="s">
        <v>279</v>
      </c>
      <c r="M14" s="3" t="s">
        <v>256</v>
      </c>
      <c r="N14" s="3" t="s">
        <v>317</v>
      </c>
      <c r="R14" s="73"/>
      <c r="T14" s="73"/>
      <c r="U14" s="25"/>
      <c r="V14" s="72"/>
      <c r="W14" s="72"/>
      <c r="X14" s="72"/>
      <c r="Y14" s="72"/>
      <c r="Z14" s="72"/>
      <c r="AA14" s="72"/>
      <c r="AB14" s="72"/>
      <c r="AC14" s="72"/>
      <c r="AD14" s="72"/>
      <c r="AE14" s="72"/>
    </row>
    <row r="15" spans="1:32" x14ac:dyDescent="0.25">
      <c r="A15" s="1" t="str">
        <f>Grafikon!$B4</f>
        <v>Os 4371</v>
      </c>
      <c r="B15" s="199"/>
      <c r="C15" s="2">
        <f>Grafikon!$D4</f>
        <v>53.328000000000003</v>
      </c>
      <c r="D15" s="3">
        <f>Grafikon!$G4</f>
        <v>100</v>
      </c>
      <c r="E15" s="10">
        <f>IFERROR(VLOOKUP($B15,Súpravy!$A$6:$Q$31,6,FALSE),0)</f>
        <v>0</v>
      </c>
      <c r="F15" s="31">
        <f t="shared" ref="F15:F46" si="4">MIN(E15/D15,1)</f>
        <v>0</v>
      </c>
      <c r="G15" s="10">
        <f>IFERROR(VLOOKUP($B15,Súpravy!$A$6:$Q$31,3,FALSE),0)</f>
        <v>0</v>
      </c>
      <c r="H15" s="17">
        <f>IFERROR(MIN(G15/D15,1),0)</f>
        <v>0</v>
      </c>
      <c r="I15" s="12">
        <f>IFERROR(VLOOKUP($B15,Súpravy!$A$6:$Q$31,9,FALSE),0)</f>
        <v>0</v>
      </c>
      <c r="J15" s="12">
        <f>IFERROR(VLOOKUP($B15,Súpravy!$A$6:$Q$31,12,FALSE),0)</f>
        <v>0</v>
      </c>
      <c r="K15" s="12">
        <f>IFERROR(VLOOKUP($B15,Súpravy!$A$6:$Q$31,17,FALSE),0)</f>
        <v>0</v>
      </c>
      <c r="L15" s="12">
        <f>IFERROR(VLOOKUP($B15,Súpravy!$A$6:$Q$31,18,FALSE),0)</f>
        <v>0</v>
      </c>
      <c r="M15" s="17">
        <f t="shared" ref="M15:M46" si="5">IFERROR(D15/G15,0)</f>
        <v>0</v>
      </c>
      <c r="N15" s="93">
        <f>IF(OR(C15=53.328,M15&lt;=80%),0,D15*(Ocenenie!$E$56*(M15)*(M15)*(M15)+Ocenenie!$E$57*(M15)*(M15)+Ocenenie!$E$58*(M15)-Ocenenie!$E$60))</f>
        <v>0</v>
      </c>
      <c r="P15" s="40"/>
      <c r="R15" s="38"/>
      <c r="T15" s="40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</row>
    <row r="16" spans="1:32" x14ac:dyDescent="0.25">
      <c r="A16" s="1" t="str">
        <f>Grafikon!$B5</f>
        <v>Os 4341</v>
      </c>
      <c r="B16" s="199"/>
      <c r="C16" s="2">
        <f>Grafikon!$D5</f>
        <v>26.718</v>
      </c>
      <c r="D16" s="3">
        <f>Grafikon!$G5</f>
        <v>100</v>
      </c>
      <c r="E16" s="10">
        <f>IFERROR(VLOOKUP($B16,Súpravy!$A$6:$Q$31,6,FALSE),0)</f>
        <v>0</v>
      </c>
      <c r="F16" s="31">
        <f t="shared" si="4"/>
        <v>0</v>
      </c>
      <c r="G16" s="10">
        <f>IFERROR(VLOOKUP($B16,Súpravy!$A$6:$Q$31,3,FALSE),0)</f>
        <v>0</v>
      </c>
      <c r="H16" s="17">
        <f t="shared" ref="H16:H79" si="6">IFERROR(MIN(G16/D16,1),0)</f>
        <v>0</v>
      </c>
      <c r="I16" s="12">
        <f>IFERROR(VLOOKUP($B16,Súpravy!$A$6:$Q$31,9,FALSE),0)</f>
        <v>0</v>
      </c>
      <c r="J16" s="12">
        <f>IFERROR(VLOOKUP($B16,Súpravy!$A$6:$Q$31,12,FALSE),0)</f>
        <v>0</v>
      </c>
      <c r="K16" s="12">
        <f>IFERROR(VLOOKUP($B16,Súpravy!$A$6:$Q$31,17,FALSE),0)</f>
        <v>0</v>
      </c>
      <c r="L16" s="12">
        <f>IFERROR(VLOOKUP($B16,Súpravy!$A$6:$Q$31,18,FALSE),0)</f>
        <v>0</v>
      </c>
      <c r="M16" s="17">
        <f t="shared" si="5"/>
        <v>0</v>
      </c>
      <c r="N16" s="93">
        <f>IF(OR(C16=53.328,M16&lt;=80%),0,D16*(Ocenenie!$E$56*(M16)*(M16)*(M16)+Ocenenie!$E$57*(M16)*(M16)+Ocenenie!$E$58*(M16)-Ocenenie!$E$60))</f>
        <v>0</v>
      </c>
      <c r="P16" s="40"/>
      <c r="R16" s="38"/>
      <c r="T16" s="40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</row>
    <row r="17" spans="1:32" x14ac:dyDescent="0.25">
      <c r="A17" s="1" t="str">
        <f>Grafikon!$B6</f>
        <v>Os 4375</v>
      </c>
      <c r="B17" s="199"/>
      <c r="C17" s="2">
        <f>Grafikon!$D6</f>
        <v>53.328000000000003</v>
      </c>
      <c r="D17" s="3">
        <f>Grafikon!$G6</f>
        <v>100</v>
      </c>
      <c r="E17" s="10">
        <f>IFERROR(VLOOKUP($B17,Súpravy!$A$6:$Q$31,6,FALSE),0)</f>
        <v>0</v>
      </c>
      <c r="F17" s="31">
        <f t="shared" si="4"/>
        <v>0</v>
      </c>
      <c r="G17" s="10">
        <f>IFERROR(VLOOKUP($B17,Súpravy!$A$6:$Q$31,3,FALSE),0)</f>
        <v>0</v>
      </c>
      <c r="H17" s="17">
        <f t="shared" si="6"/>
        <v>0</v>
      </c>
      <c r="I17" s="12">
        <f>IFERROR(VLOOKUP($B17,Súpravy!$A$6:$Q$31,9,FALSE),0)</f>
        <v>0</v>
      </c>
      <c r="J17" s="12">
        <f>IFERROR(VLOOKUP($B17,Súpravy!$A$6:$Q$31,12,FALSE),0)</f>
        <v>0</v>
      </c>
      <c r="K17" s="12">
        <f>IFERROR(VLOOKUP($B17,Súpravy!$A$6:$Q$31,17,FALSE),0)</f>
        <v>0</v>
      </c>
      <c r="L17" s="12">
        <f>IFERROR(VLOOKUP($B17,Súpravy!$A$6:$Q$31,18,FALSE),0)</f>
        <v>0</v>
      </c>
      <c r="M17" s="17">
        <f t="shared" si="5"/>
        <v>0</v>
      </c>
      <c r="N17" s="93">
        <f>IF(OR(C17=53.328,M17&lt;=80%),0,D17*(Ocenenie!$E$56*(M17)*(M17)*(M17)+Ocenenie!$E$57*(M17)*(M17)+Ocenenie!$E$58*(M17)-Ocenenie!$E$60))</f>
        <v>0</v>
      </c>
      <c r="P17" s="40"/>
      <c r="R17" s="38"/>
      <c r="T17" s="40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</row>
    <row r="18" spans="1:32" x14ac:dyDescent="0.25">
      <c r="A18" s="1" t="str">
        <f>Grafikon!$B7</f>
        <v>Os 4343</v>
      </c>
      <c r="B18" s="199"/>
      <c r="C18" s="2">
        <f>Grafikon!$D7</f>
        <v>26.718</v>
      </c>
      <c r="D18" s="3">
        <f>Grafikon!$G7</f>
        <v>100</v>
      </c>
      <c r="E18" s="10">
        <f>IFERROR(VLOOKUP($B18,Súpravy!$A$6:$Q$31,6,FALSE),0)</f>
        <v>0</v>
      </c>
      <c r="F18" s="31">
        <f t="shared" si="4"/>
        <v>0</v>
      </c>
      <c r="G18" s="10">
        <f>IFERROR(VLOOKUP($B18,Súpravy!$A$6:$Q$31,3,FALSE),0)</f>
        <v>0</v>
      </c>
      <c r="H18" s="17">
        <f t="shared" si="6"/>
        <v>0</v>
      </c>
      <c r="I18" s="12">
        <f>IFERROR(VLOOKUP($B18,Súpravy!$A$6:$Q$31,9,FALSE),0)</f>
        <v>0</v>
      </c>
      <c r="J18" s="12">
        <f>IFERROR(VLOOKUP($B18,Súpravy!$A$6:$Q$31,12,FALSE),0)</f>
        <v>0</v>
      </c>
      <c r="K18" s="12">
        <f>IFERROR(VLOOKUP($B18,Súpravy!$A$6:$Q$31,17,FALSE),0)</f>
        <v>0</v>
      </c>
      <c r="L18" s="12">
        <f>IFERROR(VLOOKUP($B18,Súpravy!$A$6:$Q$31,18,FALSE),0)</f>
        <v>0</v>
      </c>
      <c r="M18" s="17">
        <f t="shared" si="5"/>
        <v>0</v>
      </c>
      <c r="N18" s="93">
        <f>IF(OR(C18=53.328,M18&lt;=80%),0,D18*(Ocenenie!$E$56*(M18)*(M18)*(M18)+Ocenenie!$E$57*(M18)*(M18)+Ocenenie!$E$58*(M18)-Ocenenie!$E$60))</f>
        <v>0</v>
      </c>
      <c r="P18" s="40"/>
      <c r="R18" s="38"/>
      <c r="T18" s="40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</row>
    <row r="19" spans="1:32" x14ac:dyDescent="0.25">
      <c r="A19" s="1" t="str">
        <f>Grafikon!$B8</f>
        <v>Os 4301</v>
      </c>
      <c r="B19" s="199"/>
      <c r="C19" s="2">
        <f>Grafikon!$D8</f>
        <v>46.847000000000001</v>
      </c>
      <c r="D19" s="3">
        <f>Grafikon!$G8</f>
        <v>100</v>
      </c>
      <c r="E19" s="10">
        <f>IFERROR(VLOOKUP($B19,Súpravy!$A$6:$Q$31,6,FALSE),0)</f>
        <v>0</v>
      </c>
      <c r="F19" s="31">
        <f t="shared" si="4"/>
        <v>0</v>
      </c>
      <c r="G19" s="10">
        <f>IFERROR(VLOOKUP($B19,Súpravy!$A$6:$Q$31,3,FALSE),0)</f>
        <v>0</v>
      </c>
      <c r="H19" s="17">
        <f t="shared" si="6"/>
        <v>0</v>
      </c>
      <c r="I19" s="12">
        <f>IFERROR(VLOOKUP($B19,Súpravy!$A$6:$Q$31,9,FALSE),0)</f>
        <v>0</v>
      </c>
      <c r="J19" s="12">
        <f>IFERROR(VLOOKUP($B19,Súpravy!$A$6:$Q$31,12,FALSE),0)</f>
        <v>0</v>
      </c>
      <c r="K19" s="12">
        <f>IFERROR(VLOOKUP($B19,Súpravy!$A$6:$Q$31,17,FALSE),0)</f>
        <v>0</v>
      </c>
      <c r="L19" s="12">
        <f>IFERROR(VLOOKUP($B19,Súpravy!$A$6:$Q$31,18,FALSE),0)</f>
        <v>0</v>
      </c>
      <c r="M19" s="17">
        <f t="shared" si="5"/>
        <v>0</v>
      </c>
      <c r="N19" s="93">
        <f>IF(OR(C19=53.328,M19&lt;=80%),0,D19*(Ocenenie!$E$56*(M19)*(M19)*(M19)+Ocenenie!$E$57*(M19)*(M19)+Ocenenie!$E$58*(M19)-Ocenenie!$E$60))</f>
        <v>0</v>
      </c>
      <c r="P19" s="40"/>
      <c r="R19" s="38"/>
      <c r="T19" s="40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</row>
    <row r="20" spans="1:32" x14ac:dyDescent="0.25">
      <c r="A20" s="1" t="str">
        <f>Grafikon!$B9</f>
        <v>Os 4377</v>
      </c>
      <c r="B20" s="199"/>
      <c r="C20" s="2">
        <f>Grafikon!$D9</f>
        <v>53.328000000000003</v>
      </c>
      <c r="D20" s="3">
        <f>Grafikon!$G9</f>
        <v>200</v>
      </c>
      <c r="E20" s="10">
        <f>IFERROR(VLOOKUP($B20,Súpravy!$A$6:$Q$31,6,FALSE),0)</f>
        <v>0</v>
      </c>
      <c r="F20" s="31">
        <f t="shared" si="4"/>
        <v>0</v>
      </c>
      <c r="G20" s="10">
        <f>IFERROR(VLOOKUP($B20,Súpravy!$A$6:$Q$31,3,FALSE),0)</f>
        <v>0</v>
      </c>
      <c r="H20" s="17">
        <f t="shared" si="6"/>
        <v>0</v>
      </c>
      <c r="I20" s="12">
        <f>IFERROR(VLOOKUP($B20,Súpravy!$A$6:$Q$31,9,FALSE),0)</f>
        <v>0</v>
      </c>
      <c r="J20" s="12">
        <f>IFERROR(VLOOKUP($B20,Súpravy!$A$6:$Q$31,12,FALSE),0)</f>
        <v>0</v>
      </c>
      <c r="K20" s="12">
        <f>IFERROR(VLOOKUP($B20,Súpravy!$A$6:$Q$31,17,FALSE),0)</f>
        <v>0</v>
      </c>
      <c r="L20" s="12">
        <f>IFERROR(VLOOKUP($B20,Súpravy!$A$6:$Q$31,18,FALSE),0)</f>
        <v>0</v>
      </c>
      <c r="M20" s="17">
        <f t="shared" si="5"/>
        <v>0</v>
      </c>
      <c r="N20" s="93">
        <f>IF(OR(C20=53.328,M20&lt;=80%),0,D20*(Ocenenie!$E$56*(M20)*(M20)*(M20)+Ocenenie!$E$57*(M20)*(M20)+Ocenenie!$E$58*(M20)-Ocenenie!$E$60))</f>
        <v>0</v>
      </c>
      <c r="P20" s="40"/>
      <c r="R20" s="38"/>
      <c r="T20" s="40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</row>
    <row r="21" spans="1:32" x14ac:dyDescent="0.25">
      <c r="A21" s="1" t="str">
        <f>Grafikon!$B10</f>
        <v>Os 4391</v>
      </c>
      <c r="B21" s="199"/>
      <c r="C21" s="2">
        <f>Grafikon!$D10</f>
        <v>26.718</v>
      </c>
      <c r="D21" s="3">
        <f>Grafikon!$G10</f>
        <v>100</v>
      </c>
      <c r="E21" s="10">
        <f>IFERROR(VLOOKUP($B21,Súpravy!$A$6:$Q$31,6,FALSE),0)</f>
        <v>0</v>
      </c>
      <c r="F21" s="31">
        <f t="shared" si="4"/>
        <v>0</v>
      </c>
      <c r="G21" s="10">
        <f>IFERROR(VLOOKUP($B21,Súpravy!$A$6:$Q$31,3,FALSE),0)</f>
        <v>0</v>
      </c>
      <c r="H21" s="17">
        <f t="shared" si="6"/>
        <v>0</v>
      </c>
      <c r="I21" s="12">
        <f>IFERROR(VLOOKUP($B21,Súpravy!$A$6:$Q$31,9,FALSE),0)</f>
        <v>0</v>
      </c>
      <c r="J21" s="12">
        <f>IFERROR(VLOOKUP($B21,Súpravy!$A$6:$Q$31,12,FALSE),0)</f>
        <v>0</v>
      </c>
      <c r="K21" s="12">
        <f>IFERROR(VLOOKUP($B21,Súpravy!$A$6:$Q$31,17,FALSE),0)</f>
        <v>0</v>
      </c>
      <c r="L21" s="12">
        <f>IFERROR(VLOOKUP($B21,Súpravy!$A$6:$Q$31,18,FALSE),0)</f>
        <v>0</v>
      </c>
      <c r="M21" s="17">
        <f t="shared" si="5"/>
        <v>0</v>
      </c>
      <c r="N21" s="93">
        <f>IF(OR(C21=53.328,M21&lt;=80%),0,D21*(Ocenenie!$E$56*(M21)*(M21)*(M21)+Ocenenie!$E$57*(M21)*(M21)+Ocenenie!$E$58*(M21)-Ocenenie!$E$60))</f>
        <v>0</v>
      </c>
      <c r="P21" s="40"/>
      <c r="R21" s="38"/>
      <c r="T21" s="40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</row>
    <row r="22" spans="1:32" x14ac:dyDescent="0.25">
      <c r="A22" s="1" t="str">
        <f>Grafikon!$B11</f>
        <v>Os 4345</v>
      </c>
      <c r="B22" s="199"/>
      <c r="C22" s="2">
        <f>Grafikon!$D11</f>
        <v>26.718</v>
      </c>
      <c r="D22" s="3">
        <f>Grafikon!$G11</f>
        <v>100</v>
      </c>
      <c r="E22" s="10">
        <f>IFERROR(VLOOKUP($B22,Súpravy!$A$6:$Q$31,6,FALSE),0)</f>
        <v>0</v>
      </c>
      <c r="F22" s="31">
        <f t="shared" si="4"/>
        <v>0</v>
      </c>
      <c r="G22" s="10">
        <f>IFERROR(VLOOKUP($B22,Súpravy!$A$6:$Q$31,3,FALSE),0)</f>
        <v>0</v>
      </c>
      <c r="H22" s="17">
        <f t="shared" si="6"/>
        <v>0</v>
      </c>
      <c r="I22" s="12">
        <f>IFERROR(VLOOKUP($B22,Súpravy!$A$6:$Q$31,9,FALSE),0)</f>
        <v>0</v>
      </c>
      <c r="J22" s="12">
        <f>IFERROR(VLOOKUP($B22,Súpravy!$A$6:$Q$31,12,FALSE),0)</f>
        <v>0</v>
      </c>
      <c r="K22" s="12">
        <f>IFERROR(VLOOKUP($B22,Súpravy!$A$6:$Q$31,17,FALSE),0)</f>
        <v>0</v>
      </c>
      <c r="L22" s="12">
        <f>IFERROR(VLOOKUP($B22,Súpravy!$A$6:$Q$31,18,FALSE),0)</f>
        <v>0</v>
      </c>
      <c r="M22" s="17">
        <f t="shared" si="5"/>
        <v>0</v>
      </c>
      <c r="N22" s="93">
        <f>IF(OR(C22=53.328,M22&lt;=80%),0,D22*(Ocenenie!$E$56*(M22)*(M22)*(M22)+Ocenenie!$E$57*(M22)*(M22)+Ocenenie!$E$58*(M22)-Ocenenie!$E$60))</f>
        <v>0</v>
      </c>
      <c r="P22" s="40"/>
      <c r="R22" s="38"/>
      <c r="T22" s="40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</row>
    <row r="23" spans="1:32" x14ac:dyDescent="0.25">
      <c r="A23" s="1" t="str">
        <f>Grafikon!$B12</f>
        <v>Zr 1761</v>
      </c>
      <c r="B23" s="199"/>
      <c r="C23" s="2">
        <f>Grafikon!$D12</f>
        <v>100.175</v>
      </c>
      <c r="D23" s="3">
        <f>Grafikon!$G12</f>
        <v>100</v>
      </c>
      <c r="E23" s="10">
        <f>IFERROR(VLOOKUP($B23,Súpravy!$A$6:$Q$31,6,FALSE),0)</f>
        <v>0</v>
      </c>
      <c r="F23" s="31">
        <f t="shared" si="4"/>
        <v>0</v>
      </c>
      <c r="G23" s="10">
        <f>IFERROR(VLOOKUP($B23,Súpravy!$A$6:$Q$31,3,FALSE),0)</f>
        <v>0</v>
      </c>
      <c r="H23" s="17">
        <f t="shared" si="6"/>
        <v>0</v>
      </c>
      <c r="I23" s="12">
        <f>IFERROR(VLOOKUP($B23,Súpravy!$A$6:$Q$31,9,FALSE),0)</f>
        <v>0</v>
      </c>
      <c r="J23" s="12">
        <f>IFERROR(VLOOKUP($B23,Súpravy!$A$6:$Q$31,12,FALSE),0)</f>
        <v>0</v>
      </c>
      <c r="K23" s="12">
        <f>IFERROR(VLOOKUP($B23,Súpravy!$A$6:$Q$31,17,FALSE),0)</f>
        <v>0</v>
      </c>
      <c r="L23" s="12">
        <f>IFERROR(VLOOKUP($B23,Súpravy!$A$6:$Q$31,18,FALSE),0)</f>
        <v>0</v>
      </c>
      <c r="M23" s="17">
        <f t="shared" si="5"/>
        <v>0</v>
      </c>
      <c r="N23" s="93">
        <f>IF(OR(C23=53.328,M23&lt;=80%),0,D23*(Ocenenie!$E$56*(M23)*(M23)*(M23)+Ocenenie!$E$57*(M23)*(M23)+Ocenenie!$E$58*(M23)-Ocenenie!$E$60))</f>
        <v>0</v>
      </c>
      <c r="P23" s="40"/>
      <c r="R23" s="38"/>
      <c r="T23" s="40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</row>
    <row r="24" spans="1:32" x14ac:dyDescent="0.25">
      <c r="A24" s="1" t="str">
        <f>Grafikon!$B13</f>
        <v>Os 4303</v>
      </c>
      <c r="B24" s="199"/>
      <c r="C24" s="2">
        <f>Grafikon!$D13</f>
        <v>46.847000000000001</v>
      </c>
      <c r="D24" s="3">
        <f>Grafikon!$G13</f>
        <v>100</v>
      </c>
      <c r="E24" s="10">
        <f>IFERROR(VLOOKUP($B24,Súpravy!$A$6:$Q$31,6,FALSE),0)</f>
        <v>0</v>
      </c>
      <c r="F24" s="31">
        <f t="shared" si="4"/>
        <v>0</v>
      </c>
      <c r="G24" s="10">
        <f>IFERROR(VLOOKUP($B24,Súpravy!$A$6:$Q$31,3,FALSE),0)</f>
        <v>0</v>
      </c>
      <c r="H24" s="17">
        <f t="shared" si="6"/>
        <v>0</v>
      </c>
      <c r="I24" s="12">
        <f>IFERROR(VLOOKUP($B24,Súpravy!$A$6:$Q$31,9,FALSE),0)</f>
        <v>0</v>
      </c>
      <c r="J24" s="12">
        <f>IFERROR(VLOOKUP($B24,Súpravy!$A$6:$Q$31,12,FALSE),0)</f>
        <v>0</v>
      </c>
      <c r="K24" s="12">
        <f>IFERROR(VLOOKUP($B24,Súpravy!$A$6:$Q$31,17,FALSE),0)</f>
        <v>0</v>
      </c>
      <c r="L24" s="12">
        <f>IFERROR(VLOOKUP($B24,Súpravy!$A$6:$Q$31,18,FALSE),0)</f>
        <v>0</v>
      </c>
      <c r="M24" s="17">
        <f t="shared" si="5"/>
        <v>0</v>
      </c>
      <c r="N24" s="93">
        <f>IF(OR(C24=53.328,M24&lt;=80%),0,D24*(Ocenenie!$E$56*(M24)*(M24)*(M24)+Ocenenie!$E$57*(M24)*(M24)+Ocenenie!$E$58*(M24)-Ocenenie!$E$60))</f>
        <v>0</v>
      </c>
      <c r="P24" s="40"/>
      <c r="R24" s="38"/>
      <c r="T24" s="40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</row>
    <row r="25" spans="1:32" x14ac:dyDescent="0.25">
      <c r="A25" s="1" t="str">
        <f>Grafikon!$B14</f>
        <v>Os 4347</v>
      </c>
      <c r="B25" s="199"/>
      <c r="C25" s="2">
        <f>Grafikon!$D14</f>
        <v>26.718</v>
      </c>
      <c r="D25" s="3">
        <f>Grafikon!$G14</f>
        <v>100</v>
      </c>
      <c r="E25" s="10">
        <f>IFERROR(VLOOKUP($B25,Súpravy!$A$6:$Q$31,6,FALSE),0)</f>
        <v>0</v>
      </c>
      <c r="F25" s="31">
        <f t="shared" si="4"/>
        <v>0</v>
      </c>
      <c r="G25" s="10">
        <f>IFERROR(VLOOKUP($B25,Súpravy!$A$6:$Q$31,3,FALSE),0)</f>
        <v>0</v>
      </c>
      <c r="H25" s="17">
        <f t="shared" si="6"/>
        <v>0</v>
      </c>
      <c r="I25" s="12">
        <f>IFERROR(VLOOKUP($B25,Súpravy!$A$6:$Q$31,9,FALSE),0)</f>
        <v>0</v>
      </c>
      <c r="J25" s="12">
        <f>IFERROR(VLOOKUP($B25,Súpravy!$A$6:$Q$31,12,FALSE),0)</f>
        <v>0</v>
      </c>
      <c r="K25" s="12">
        <f>IFERROR(VLOOKUP($B25,Súpravy!$A$6:$Q$31,17,FALSE),0)</f>
        <v>0</v>
      </c>
      <c r="L25" s="12">
        <f>IFERROR(VLOOKUP($B25,Súpravy!$A$6:$Q$31,18,FALSE),0)</f>
        <v>0</v>
      </c>
      <c r="M25" s="17">
        <f t="shared" si="5"/>
        <v>0</v>
      </c>
      <c r="N25" s="93">
        <f>IF(OR(C25=53.328,M25&lt;=80%),0,D25*(Ocenenie!$E$56*(M25)*(M25)*(M25)+Ocenenie!$E$57*(M25)*(M25)+Ocenenie!$E$58*(M25)-Ocenenie!$E$60))</f>
        <v>0</v>
      </c>
      <c r="P25" s="40"/>
      <c r="R25" s="38"/>
      <c r="T25" s="40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</row>
    <row r="26" spans="1:32" x14ac:dyDescent="0.25">
      <c r="A26" s="1" t="str">
        <f>Grafikon!$B15</f>
        <v>Os 4305</v>
      </c>
      <c r="B26" s="199"/>
      <c r="C26" s="2">
        <f>Grafikon!$D15</f>
        <v>46.847000000000001</v>
      </c>
      <c r="D26" s="3">
        <f>Grafikon!$G15</f>
        <v>100</v>
      </c>
      <c r="E26" s="10">
        <f>IFERROR(VLOOKUP($B26,Súpravy!$A$6:$Q$31,6,FALSE),0)</f>
        <v>0</v>
      </c>
      <c r="F26" s="31">
        <f t="shared" si="4"/>
        <v>0</v>
      </c>
      <c r="G26" s="10">
        <f>IFERROR(VLOOKUP($B26,Súpravy!$A$6:$Q$31,3,FALSE),0)</f>
        <v>0</v>
      </c>
      <c r="H26" s="17">
        <f t="shared" si="6"/>
        <v>0</v>
      </c>
      <c r="I26" s="12">
        <f>IFERROR(VLOOKUP($B26,Súpravy!$A$6:$Q$31,9,FALSE),0)</f>
        <v>0</v>
      </c>
      <c r="J26" s="12">
        <f>IFERROR(VLOOKUP($B26,Súpravy!$A$6:$Q$31,12,FALSE),0)</f>
        <v>0</v>
      </c>
      <c r="K26" s="12">
        <f>IFERROR(VLOOKUP($B26,Súpravy!$A$6:$Q$31,17,FALSE),0)</f>
        <v>0</v>
      </c>
      <c r="L26" s="12">
        <f>IFERROR(VLOOKUP($B26,Súpravy!$A$6:$Q$31,18,FALSE),0)</f>
        <v>0</v>
      </c>
      <c r="M26" s="17">
        <f t="shared" si="5"/>
        <v>0</v>
      </c>
      <c r="N26" s="93">
        <f>IF(OR(C26=53.328,M26&lt;=80%),0,D26*(Ocenenie!$E$56*(M26)*(M26)*(M26)+Ocenenie!$E$57*(M26)*(M26)+Ocenenie!$E$58*(M26)-Ocenenie!$E$60))</f>
        <v>0</v>
      </c>
      <c r="P26" s="40"/>
      <c r="R26" s="38"/>
      <c r="T26" s="40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</row>
    <row r="27" spans="1:32" x14ac:dyDescent="0.25">
      <c r="A27" s="1" t="str">
        <f>Grafikon!$B16</f>
        <v>Os 4349</v>
      </c>
      <c r="B27" s="199"/>
      <c r="C27" s="2">
        <f>Grafikon!$D16</f>
        <v>26.718</v>
      </c>
      <c r="D27" s="3">
        <f>Grafikon!$G16</f>
        <v>100</v>
      </c>
      <c r="E27" s="10">
        <f>IFERROR(VLOOKUP($B27,Súpravy!$A$6:$Q$31,6,FALSE),0)</f>
        <v>0</v>
      </c>
      <c r="F27" s="31">
        <f t="shared" si="4"/>
        <v>0</v>
      </c>
      <c r="G27" s="10">
        <f>IFERROR(VLOOKUP($B27,Súpravy!$A$6:$Q$31,3,FALSE),0)</f>
        <v>0</v>
      </c>
      <c r="H27" s="17">
        <f t="shared" si="6"/>
        <v>0</v>
      </c>
      <c r="I27" s="12">
        <f>IFERROR(VLOOKUP($B27,Súpravy!$A$6:$Q$31,9,FALSE),0)</f>
        <v>0</v>
      </c>
      <c r="J27" s="12">
        <f>IFERROR(VLOOKUP($B27,Súpravy!$A$6:$Q$31,12,FALSE),0)</f>
        <v>0</v>
      </c>
      <c r="K27" s="12">
        <f>IFERROR(VLOOKUP($B27,Súpravy!$A$6:$Q$31,17,FALSE),0)</f>
        <v>0</v>
      </c>
      <c r="L27" s="12">
        <f>IFERROR(VLOOKUP($B27,Súpravy!$A$6:$Q$31,18,FALSE),0)</f>
        <v>0</v>
      </c>
      <c r="M27" s="17">
        <f t="shared" si="5"/>
        <v>0</v>
      </c>
      <c r="N27" s="93">
        <f>IF(OR(C27=53.328,M27&lt;=80%),0,D27*(Ocenenie!$E$56*(M27)*(M27)*(M27)+Ocenenie!$E$57*(M27)*(M27)+Ocenenie!$E$58*(M27)-Ocenenie!$E$60))</f>
        <v>0</v>
      </c>
      <c r="P27" s="40"/>
      <c r="R27" s="38"/>
      <c r="T27" s="40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</row>
    <row r="28" spans="1:32" x14ac:dyDescent="0.25">
      <c r="A28" s="1" t="str">
        <f>Grafikon!$B17</f>
        <v>Zr 1765</v>
      </c>
      <c r="B28" s="199"/>
      <c r="C28" s="2">
        <f>Grafikon!$D17</f>
        <v>100.175</v>
      </c>
      <c r="D28" s="3">
        <f>Grafikon!$G17</f>
        <v>100</v>
      </c>
      <c r="E28" s="10">
        <f>IFERROR(VLOOKUP($B28,Súpravy!$A$6:$Q$31,6,FALSE),0)</f>
        <v>0</v>
      </c>
      <c r="F28" s="31">
        <f t="shared" si="4"/>
        <v>0</v>
      </c>
      <c r="G28" s="10">
        <f>IFERROR(VLOOKUP($B28,Súpravy!$A$6:$Q$31,3,FALSE),0)</f>
        <v>0</v>
      </c>
      <c r="H28" s="17">
        <f t="shared" si="6"/>
        <v>0</v>
      </c>
      <c r="I28" s="12">
        <f>IFERROR(VLOOKUP($B28,Súpravy!$A$6:$Q$31,9,FALSE),0)</f>
        <v>0</v>
      </c>
      <c r="J28" s="12">
        <f>IFERROR(VLOOKUP($B28,Súpravy!$A$6:$Q$31,12,FALSE),0)</f>
        <v>0</v>
      </c>
      <c r="K28" s="12">
        <f>IFERROR(VLOOKUP($B28,Súpravy!$A$6:$Q$31,17,FALSE),0)</f>
        <v>0</v>
      </c>
      <c r="L28" s="12">
        <f>IFERROR(VLOOKUP($B28,Súpravy!$A$6:$Q$31,18,FALSE),0)</f>
        <v>0</v>
      </c>
      <c r="M28" s="17">
        <f t="shared" si="5"/>
        <v>0</v>
      </c>
      <c r="N28" s="93">
        <f>IF(OR(C28=53.328,M28&lt;=80%),0,D28*(Ocenenie!$E$56*(M28)*(M28)*(M28)+Ocenenie!$E$57*(M28)*(M28)+Ocenenie!$E$58*(M28)-Ocenenie!$E$60))</f>
        <v>0</v>
      </c>
      <c r="P28" s="40"/>
      <c r="R28" s="38"/>
      <c r="T28" s="40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</row>
    <row r="29" spans="1:32" x14ac:dyDescent="0.25">
      <c r="A29" s="1" t="str">
        <f>Grafikon!$B18</f>
        <v>Os 4307</v>
      </c>
      <c r="B29" s="199"/>
      <c r="C29" s="2">
        <f>Grafikon!$D18</f>
        <v>46.847000000000001</v>
      </c>
      <c r="D29" s="3">
        <f>Grafikon!$G18</f>
        <v>100</v>
      </c>
      <c r="E29" s="10">
        <f>IFERROR(VLOOKUP($B29,Súpravy!$A$6:$Q$31,6,FALSE),0)</f>
        <v>0</v>
      </c>
      <c r="F29" s="31">
        <f t="shared" si="4"/>
        <v>0</v>
      </c>
      <c r="G29" s="10">
        <f>IFERROR(VLOOKUP($B29,Súpravy!$A$6:$Q$31,3,FALSE),0)</f>
        <v>0</v>
      </c>
      <c r="H29" s="17">
        <f t="shared" si="6"/>
        <v>0</v>
      </c>
      <c r="I29" s="12">
        <f>IFERROR(VLOOKUP($B29,Súpravy!$A$6:$Q$31,9,FALSE),0)</f>
        <v>0</v>
      </c>
      <c r="J29" s="12">
        <f>IFERROR(VLOOKUP($B29,Súpravy!$A$6:$Q$31,12,FALSE),0)</f>
        <v>0</v>
      </c>
      <c r="K29" s="12">
        <f>IFERROR(VLOOKUP($B29,Súpravy!$A$6:$Q$31,17,FALSE),0)</f>
        <v>0</v>
      </c>
      <c r="L29" s="12">
        <f>IFERROR(VLOOKUP($B29,Súpravy!$A$6:$Q$31,18,FALSE),0)</f>
        <v>0</v>
      </c>
      <c r="M29" s="17">
        <f t="shared" si="5"/>
        <v>0</v>
      </c>
      <c r="N29" s="93">
        <f>IF(OR(C29=53.328,M29&lt;=80%),0,D29*(Ocenenie!$E$56*(M29)*(M29)*(M29)+Ocenenie!$E$57*(M29)*(M29)+Ocenenie!$E$58*(M29)-Ocenenie!$E$60))</f>
        <v>0</v>
      </c>
      <c r="P29" s="40"/>
      <c r="R29" s="38"/>
      <c r="T29" s="40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</row>
    <row r="30" spans="1:32" x14ac:dyDescent="0.25">
      <c r="A30" s="1" t="str">
        <f>Grafikon!$B19</f>
        <v>Os 4309</v>
      </c>
      <c r="B30" s="199"/>
      <c r="C30" s="2">
        <f>Grafikon!$D19</f>
        <v>46.847000000000001</v>
      </c>
      <c r="D30" s="3">
        <f>Grafikon!$G19</f>
        <v>100</v>
      </c>
      <c r="E30" s="10">
        <f>IFERROR(VLOOKUP($B30,Súpravy!$A$6:$Q$31,6,FALSE),0)</f>
        <v>0</v>
      </c>
      <c r="F30" s="31">
        <f t="shared" si="4"/>
        <v>0</v>
      </c>
      <c r="G30" s="10">
        <f>IFERROR(VLOOKUP($B30,Súpravy!$A$6:$Q$31,3,FALSE),0)</f>
        <v>0</v>
      </c>
      <c r="H30" s="17">
        <f t="shared" si="6"/>
        <v>0</v>
      </c>
      <c r="I30" s="12">
        <f>IFERROR(VLOOKUP($B30,Súpravy!$A$6:$Q$31,9,FALSE),0)</f>
        <v>0</v>
      </c>
      <c r="J30" s="12">
        <f>IFERROR(VLOOKUP($B30,Súpravy!$A$6:$Q$31,12,FALSE),0)</f>
        <v>0</v>
      </c>
      <c r="K30" s="12">
        <f>IFERROR(VLOOKUP($B30,Súpravy!$A$6:$Q$31,17,FALSE),0)</f>
        <v>0</v>
      </c>
      <c r="L30" s="12">
        <f>IFERROR(VLOOKUP($B30,Súpravy!$A$6:$Q$31,18,FALSE),0)</f>
        <v>0</v>
      </c>
      <c r="M30" s="17">
        <f t="shared" si="5"/>
        <v>0</v>
      </c>
      <c r="N30" s="93">
        <f>IF(OR(C30=53.328,M30&lt;=80%),0,D30*(Ocenenie!$E$56*(M30)*(M30)*(M30)+Ocenenie!$E$57*(M30)*(M30)+Ocenenie!$E$58*(M30)-Ocenenie!$E$60))</f>
        <v>0</v>
      </c>
      <c r="P30" s="40"/>
      <c r="R30" s="38"/>
      <c r="T30" s="40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</row>
    <row r="31" spans="1:32" x14ac:dyDescent="0.25">
      <c r="A31" s="1" t="str">
        <f>Grafikon!$B20</f>
        <v>Zr 1769</v>
      </c>
      <c r="B31" s="199"/>
      <c r="C31" s="2">
        <f>Grafikon!$D20</f>
        <v>100.175</v>
      </c>
      <c r="D31" s="3">
        <f>Grafikon!$G20</f>
        <v>100</v>
      </c>
      <c r="E31" s="10">
        <f>IFERROR(VLOOKUP($B31,Súpravy!$A$6:$Q$31,6,FALSE),0)</f>
        <v>0</v>
      </c>
      <c r="F31" s="31">
        <f t="shared" si="4"/>
        <v>0</v>
      </c>
      <c r="G31" s="10">
        <f>IFERROR(VLOOKUP($B31,Súpravy!$A$6:$Q$31,3,FALSE),0)</f>
        <v>0</v>
      </c>
      <c r="H31" s="17">
        <f t="shared" si="6"/>
        <v>0</v>
      </c>
      <c r="I31" s="12">
        <f>IFERROR(VLOOKUP($B31,Súpravy!$A$6:$Q$31,9,FALSE),0)</f>
        <v>0</v>
      </c>
      <c r="J31" s="12">
        <f>IFERROR(VLOOKUP($B31,Súpravy!$A$6:$Q$31,12,FALSE),0)</f>
        <v>0</v>
      </c>
      <c r="K31" s="12">
        <f>IFERROR(VLOOKUP($B31,Súpravy!$A$6:$Q$31,17,FALSE),0)</f>
        <v>0</v>
      </c>
      <c r="L31" s="12">
        <f>IFERROR(VLOOKUP($B31,Súpravy!$A$6:$Q$31,18,FALSE),0)</f>
        <v>0</v>
      </c>
      <c r="M31" s="17">
        <f t="shared" si="5"/>
        <v>0</v>
      </c>
      <c r="N31" s="93">
        <f>IF(OR(C31=53.328,M31&lt;=80%),0,D31*(Ocenenie!$E$56*(M31)*(M31)*(M31)+Ocenenie!$E$57*(M31)*(M31)+Ocenenie!$E$58*(M31)-Ocenenie!$E$60))</f>
        <v>0</v>
      </c>
      <c r="P31" s="40"/>
      <c r="R31" s="38"/>
      <c r="T31" s="40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</row>
    <row r="32" spans="1:32" x14ac:dyDescent="0.25">
      <c r="A32" s="1" t="str">
        <f>Grafikon!$B21</f>
        <v>Os 4311</v>
      </c>
      <c r="B32" s="199"/>
      <c r="C32" s="2">
        <f>Grafikon!$D21</f>
        <v>46.847000000000001</v>
      </c>
      <c r="D32" s="3">
        <f>Grafikon!$G21</f>
        <v>200</v>
      </c>
      <c r="E32" s="10">
        <f>IFERROR(VLOOKUP($B32,Súpravy!$A$6:$Q$31,6,FALSE),0)</f>
        <v>0</v>
      </c>
      <c r="F32" s="31">
        <f t="shared" si="4"/>
        <v>0</v>
      </c>
      <c r="G32" s="10">
        <f>IFERROR(VLOOKUP($B32,Súpravy!$A$6:$Q$31,3,FALSE),0)</f>
        <v>0</v>
      </c>
      <c r="H32" s="17">
        <f t="shared" si="6"/>
        <v>0</v>
      </c>
      <c r="I32" s="12">
        <f>IFERROR(VLOOKUP($B32,Súpravy!$A$6:$Q$31,9,FALSE),0)</f>
        <v>0</v>
      </c>
      <c r="J32" s="12">
        <f>IFERROR(VLOOKUP($B32,Súpravy!$A$6:$Q$31,12,FALSE),0)</f>
        <v>0</v>
      </c>
      <c r="K32" s="12">
        <f>IFERROR(VLOOKUP($B32,Súpravy!$A$6:$Q$31,17,FALSE),0)</f>
        <v>0</v>
      </c>
      <c r="L32" s="12">
        <f>IFERROR(VLOOKUP($B32,Súpravy!$A$6:$Q$31,18,FALSE),0)</f>
        <v>0</v>
      </c>
      <c r="M32" s="17">
        <f t="shared" si="5"/>
        <v>0</v>
      </c>
      <c r="N32" s="93">
        <f>IF(OR(C32=53.328,M32&lt;=80%),0,D32*(Ocenenie!$E$56*(M32)*(M32)*(M32)+Ocenenie!$E$57*(M32)*(M32)+Ocenenie!$E$58*(M32)-Ocenenie!$E$60))</f>
        <v>0</v>
      </c>
      <c r="P32" s="40"/>
      <c r="R32" s="38"/>
      <c r="T32" s="40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</row>
    <row r="33" spans="1:32" x14ac:dyDescent="0.25">
      <c r="A33" s="1" t="str">
        <f>Grafikon!$B22</f>
        <v>Os 4313</v>
      </c>
      <c r="B33" s="199"/>
      <c r="C33" s="2">
        <f>Grafikon!$D22</f>
        <v>46.847000000000001</v>
      </c>
      <c r="D33" s="3">
        <f>Grafikon!$G22</f>
        <v>200</v>
      </c>
      <c r="E33" s="10">
        <f>IFERROR(VLOOKUP($B33,Súpravy!$A$6:$Q$31,6,FALSE),0)</f>
        <v>0</v>
      </c>
      <c r="F33" s="31">
        <f t="shared" si="4"/>
        <v>0</v>
      </c>
      <c r="G33" s="10">
        <f>IFERROR(VLOOKUP($B33,Súpravy!$A$6:$Q$31,3,FALSE),0)</f>
        <v>0</v>
      </c>
      <c r="H33" s="17">
        <f t="shared" si="6"/>
        <v>0</v>
      </c>
      <c r="I33" s="12">
        <f>IFERROR(VLOOKUP($B33,Súpravy!$A$6:$Q$31,9,FALSE),0)</f>
        <v>0</v>
      </c>
      <c r="J33" s="12">
        <f>IFERROR(VLOOKUP($B33,Súpravy!$A$6:$Q$31,12,FALSE),0)</f>
        <v>0</v>
      </c>
      <c r="K33" s="12">
        <f>IFERROR(VLOOKUP($B33,Súpravy!$A$6:$Q$31,17,FALSE),0)</f>
        <v>0</v>
      </c>
      <c r="L33" s="12">
        <f>IFERROR(VLOOKUP($B33,Súpravy!$A$6:$Q$31,18,FALSE),0)</f>
        <v>0</v>
      </c>
      <c r="M33" s="17">
        <f t="shared" si="5"/>
        <v>0</v>
      </c>
      <c r="N33" s="93">
        <f>IF(OR(C33=53.328,M33&lt;=80%),0,D33*(Ocenenie!$E$56*(M33)*(M33)*(M33)+Ocenenie!$E$57*(M33)*(M33)+Ocenenie!$E$58*(M33)-Ocenenie!$E$60))</f>
        <v>0</v>
      </c>
      <c r="P33" s="40"/>
      <c r="R33" s="38"/>
      <c r="T33" s="40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</row>
    <row r="34" spans="1:32" x14ac:dyDescent="0.25">
      <c r="A34" s="1" t="str">
        <f>Grafikon!$B23</f>
        <v>Zr 1773</v>
      </c>
      <c r="B34" s="199"/>
      <c r="C34" s="2">
        <f>Grafikon!$D23</f>
        <v>100.175</v>
      </c>
      <c r="D34" s="3">
        <f>Grafikon!$G23</f>
        <v>200</v>
      </c>
      <c r="E34" s="10">
        <f>IFERROR(VLOOKUP($B34,Súpravy!$A$6:$Q$31,6,FALSE),0)</f>
        <v>0</v>
      </c>
      <c r="F34" s="31">
        <f t="shared" si="4"/>
        <v>0</v>
      </c>
      <c r="G34" s="10">
        <f>IFERROR(VLOOKUP($B34,Súpravy!$A$6:$Q$31,3,FALSE),0)</f>
        <v>0</v>
      </c>
      <c r="H34" s="17">
        <f t="shared" si="6"/>
        <v>0</v>
      </c>
      <c r="I34" s="12">
        <f>IFERROR(VLOOKUP($B34,Súpravy!$A$6:$Q$31,9,FALSE),0)</f>
        <v>0</v>
      </c>
      <c r="J34" s="12">
        <f>IFERROR(VLOOKUP($B34,Súpravy!$A$6:$Q$31,12,FALSE),0)</f>
        <v>0</v>
      </c>
      <c r="K34" s="12">
        <f>IFERROR(VLOOKUP($B34,Súpravy!$A$6:$Q$31,17,FALSE),0)</f>
        <v>0</v>
      </c>
      <c r="L34" s="12">
        <f>IFERROR(VLOOKUP($B34,Súpravy!$A$6:$Q$31,18,FALSE),0)</f>
        <v>0</v>
      </c>
      <c r="M34" s="17">
        <f t="shared" si="5"/>
        <v>0</v>
      </c>
      <c r="N34" s="93">
        <f>IF(OR(C34=53.328,M34&lt;=80%),0,D34*(Ocenenie!$E$56*(M34)*(M34)*(M34)+Ocenenie!$E$57*(M34)*(M34)+Ocenenie!$E$58*(M34)-Ocenenie!$E$60))</f>
        <v>0</v>
      </c>
      <c r="P34" s="40"/>
      <c r="R34" s="38"/>
      <c r="T34" s="40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</row>
    <row r="35" spans="1:32" x14ac:dyDescent="0.25">
      <c r="A35" s="1" t="str">
        <f>Grafikon!$B24</f>
        <v>Os 4315</v>
      </c>
      <c r="B35" s="199"/>
      <c r="C35" s="2">
        <f>Grafikon!$D24</f>
        <v>46.847000000000001</v>
      </c>
      <c r="D35" s="3">
        <f>Grafikon!$G24</f>
        <v>200</v>
      </c>
      <c r="E35" s="10">
        <f>IFERROR(VLOOKUP($B35,Súpravy!$A$6:$Q$31,6,FALSE),0)</f>
        <v>0</v>
      </c>
      <c r="F35" s="31">
        <f t="shared" si="4"/>
        <v>0</v>
      </c>
      <c r="G35" s="10">
        <f>IFERROR(VLOOKUP($B35,Súpravy!$A$6:$Q$31,3,FALSE),0)</f>
        <v>0</v>
      </c>
      <c r="H35" s="17">
        <f t="shared" si="6"/>
        <v>0</v>
      </c>
      <c r="I35" s="12">
        <f>IFERROR(VLOOKUP($B35,Súpravy!$A$6:$Q$31,9,FALSE),0)</f>
        <v>0</v>
      </c>
      <c r="J35" s="12">
        <f>IFERROR(VLOOKUP($B35,Súpravy!$A$6:$Q$31,12,FALSE),0)</f>
        <v>0</v>
      </c>
      <c r="K35" s="12">
        <f>IFERROR(VLOOKUP($B35,Súpravy!$A$6:$Q$31,17,FALSE),0)</f>
        <v>0</v>
      </c>
      <c r="L35" s="12">
        <f>IFERROR(VLOOKUP($B35,Súpravy!$A$6:$Q$31,18,FALSE),0)</f>
        <v>0</v>
      </c>
      <c r="M35" s="17">
        <f t="shared" si="5"/>
        <v>0</v>
      </c>
      <c r="N35" s="93">
        <f>IF(OR(C35=53.328,M35&lt;=80%),0,D35*(Ocenenie!$E$56*(M35)*(M35)*(M35)+Ocenenie!$E$57*(M35)*(M35)+Ocenenie!$E$58*(M35)-Ocenenie!$E$60))</f>
        <v>0</v>
      </c>
      <c r="P35" s="40"/>
      <c r="R35" s="38"/>
      <c r="T35" s="40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</row>
    <row r="36" spans="1:32" x14ac:dyDescent="0.25">
      <c r="A36" s="1" t="str">
        <f>Grafikon!$B25</f>
        <v>Os 4351</v>
      </c>
      <c r="B36" s="199"/>
      <c r="C36" s="2">
        <f>Grafikon!$D25</f>
        <v>26.718</v>
      </c>
      <c r="D36" s="3">
        <f>Grafikon!$G25</f>
        <v>200</v>
      </c>
      <c r="E36" s="10">
        <f>IFERROR(VLOOKUP($B36,Súpravy!$A$6:$Q$31,6,FALSE),0)</f>
        <v>0</v>
      </c>
      <c r="F36" s="31">
        <f t="shared" si="4"/>
        <v>0</v>
      </c>
      <c r="G36" s="10">
        <f>IFERROR(VLOOKUP($B36,Súpravy!$A$6:$Q$31,3,FALSE),0)</f>
        <v>0</v>
      </c>
      <c r="H36" s="17">
        <f t="shared" si="6"/>
        <v>0</v>
      </c>
      <c r="I36" s="12">
        <f>IFERROR(VLOOKUP($B36,Súpravy!$A$6:$Q$31,9,FALSE),0)</f>
        <v>0</v>
      </c>
      <c r="J36" s="12">
        <f>IFERROR(VLOOKUP($B36,Súpravy!$A$6:$Q$31,12,FALSE),0)</f>
        <v>0</v>
      </c>
      <c r="K36" s="12">
        <f>IFERROR(VLOOKUP($B36,Súpravy!$A$6:$Q$31,17,FALSE),0)</f>
        <v>0</v>
      </c>
      <c r="L36" s="12">
        <f>IFERROR(VLOOKUP($B36,Súpravy!$A$6:$Q$31,18,FALSE),0)</f>
        <v>0</v>
      </c>
      <c r="M36" s="17">
        <f t="shared" si="5"/>
        <v>0</v>
      </c>
      <c r="N36" s="93">
        <f>IF(OR(C36=53.328,M36&lt;=80%),0,D36*(Ocenenie!$E$56*(M36)*(M36)*(M36)+Ocenenie!$E$57*(M36)*(M36)+Ocenenie!$E$58*(M36)-Ocenenie!$E$60))</f>
        <v>0</v>
      </c>
      <c r="P36" s="40"/>
      <c r="R36" s="38"/>
      <c r="T36" s="40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</row>
    <row r="37" spans="1:32" x14ac:dyDescent="0.25">
      <c r="A37" s="1" t="str">
        <f>Grafikon!$B26</f>
        <v>Zr 1775</v>
      </c>
      <c r="B37" s="199"/>
      <c r="C37" s="2">
        <f>Grafikon!$D26</f>
        <v>46.847000000000001</v>
      </c>
      <c r="D37" s="3">
        <f>Grafikon!$G26</f>
        <v>200</v>
      </c>
      <c r="E37" s="10">
        <f>IFERROR(VLOOKUP($B37,Súpravy!$A$6:$Q$31,6,FALSE),0)</f>
        <v>0</v>
      </c>
      <c r="F37" s="31">
        <f t="shared" si="4"/>
        <v>0</v>
      </c>
      <c r="G37" s="10">
        <f>IFERROR(VLOOKUP($B37,Súpravy!$A$6:$Q$31,3,FALSE),0)</f>
        <v>0</v>
      </c>
      <c r="H37" s="17">
        <f t="shared" si="6"/>
        <v>0</v>
      </c>
      <c r="I37" s="12">
        <f>IFERROR(VLOOKUP($B37,Súpravy!$A$6:$Q$31,9,FALSE),0)</f>
        <v>0</v>
      </c>
      <c r="J37" s="12">
        <f>IFERROR(VLOOKUP($B37,Súpravy!$A$6:$Q$31,12,FALSE),0)</f>
        <v>0</v>
      </c>
      <c r="K37" s="12">
        <f>IFERROR(VLOOKUP($B37,Súpravy!$A$6:$Q$31,17,FALSE),0)</f>
        <v>0</v>
      </c>
      <c r="L37" s="12">
        <f>IFERROR(VLOOKUP($B37,Súpravy!$A$6:$Q$31,18,FALSE),0)</f>
        <v>0</v>
      </c>
      <c r="M37" s="17">
        <f t="shared" si="5"/>
        <v>0</v>
      </c>
      <c r="N37" s="93">
        <f>IF(OR(C37=53.328,M37&lt;=80%),0,D37*(Ocenenie!$E$56*(M37)*(M37)*(M37)+Ocenenie!$E$57*(M37)*(M37)+Ocenenie!$E$58*(M37)-Ocenenie!$E$60))</f>
        <v>0</v>
      </c>
      <c r="P37" s="40"/>
      <c r="R37" s="38"/>
      <c r="T37" s="40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</row>
    <row r="38" spans="1:32" x14ac:dyDescent="0.25">
      <c r="A38" s="1" t="str">
        <f>Grafikon!$B27</f>
        <v>Os 4379</v>
      </c>
      <c r="B38" s="199"/>
      <c r="C38" s="2">
        <f>Grafikon!$D27</f>
        <v>53.328000000000003</v>
      </c>
      <c r="D38" s="3">
        <f>Grafikon!$G27</f>
        <v>200</v>
      </c>
      <c r="E38" s="10">
        <f>IFERROR(VLOOKUP($B38,Súpravy!$A$6:$Q$31,6,FALSE),0)</f>
        <v>0</v>
      </c>
      <c r="F38" s="31">
        <f t="shared" si="4"/>
        <v>0</v>
      </c>
      <c r="G38" s="10">
        <f>IFERROR(VLOOKUP($B38,Súpravy!$A$6:$Q$31,3,FALSE),0)</f>
        <v>0</v>
      </c>
      <c r="H38" s="17">
        <f t="shared" si="6"/>
        <v>0</v>
      </c>
      <c r="I38" s="12">
        <f>IFERROR(VLOOKUP($B38,Súpravy!$A$6:$Q$31,9,FALSE),0)</f>
        <v>0</v>
      </c>
      <c r="J38" s="12">
        <f>IFERROR(VLOOKUP($B38,Súpravy!$A$6:$Q$31,12,FALSE),0)</f>
        <v>0</v>
      </c>
      <c r="K38" s="12">
        <f>IFERROR(VLOOKUP($B38,Súpravy!$A$6:$Q$31,17,FALSE),0)</f>
        <v>0</v>
      </c>
      <c r="L38" s="12">
        <f>IFERROR(VLOOKUP($B38,Súpravy!$A$6:$Q$31,18,FALSE),0)</f>
        <v>0</v>
      </c>
      <c r="M38" s="17">
        <f t="shared" si="5"/>
        <v>0</v>
      </c>
      <c r="N38" s="93">
        <f>IF(OR(C38=53.328,M38&lt;=80%),0,D38*(Ocenenie!$E$56*(M38)*(M38)*(M38)+Ocenenie!$E$57*(M38)*(M38)+Ocenenie!$E$58*(M38)-Ocenenie!$E$60))</f>
        <v>0</v>
      </c>
      <c r="P38" s="40"/>
      <c r="R38" s="38"/>
      <c r="T38" s="40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</row>
    <row r="39" spans="1:32" x14ac:dyDescent="0.25">
      <c r="A39" s="1" t="str">
        <f>Grafikon!$B28</f>
        <v>Os 4317</v>
      </c>
      <c r="B39" s="199"/>
      <c r="C39" s="2">
        <f>Grafikon!$D28</f>
        <v>46.847000000000001</v>
      </c>
      <c r="D39" s="3">
        <f>Grafikon!$G28</f>
        <v>300</v>
      </c>
      <c r="E39" s="10">
        <f>IFERROR(VLOOKUP($B39,Súpravy!$A$6:$Q$31,6,FALSE),0)</f>
        <v>0</v>
      </c>
      <c r="F39" s="31">
        <f t="shared" si="4"/>
        <v>0</v>
      </c>
      <c r="G39" s="10">
        <f>IFERROR(VLOOKUP($B39,Súpravy!$A$6:$Q$31,3,FALSE),0)</f>
        <v>0</v>
      </c>
      <c r="H39" s="17">
        <f t="shared" si="6"/>
        <v>0</v>
      </c>
      <c r="I39" s="12">
        <f>IFERROR(VLOOKUP($B39,Súpravy!$A$6:$Q$31,9,FALSE),0)</f>
        <v>0</v>
      </c>
      <c r="J39" s="12">
        <f>IFERROR(VLOOKUP($B39,Súpravy!$A$6:$Q$31,12,FALSE),0)</f>
        <v>0</v>
      </c>
      <c r="K39" s="12">
        <f>IFERROR(VLOOKUP($B39,Súpravy!$A$6:$Q$31,17,FALSE),0)</f>
        <v>0</v>
      </c>
      <c r="L39" s="12">
        <f>IFERROR(VLOOKUP($B39,Súpravy!$A$6:$Q$31,18,FALSE),0)</f>
        <v>0</v>
      </c>
      <c r="M39" s="17">
        <f t="shared" si="5"/>
        <v>0</v>
      </c>
      <c r="N39" s="93">
        <f>IF(OR(C39=53.328,M39&lt;=80%),0,D39*(Ocenenie!$E$56*(M39)*(M39)*(M39)+Ocenenie!$E$57*(M39)*(M39)+Ocenenie!$E$58*(M39)-Ocenenie!$E$60))</f>
        <v>0</v>
      </c>
      <c r="P39" s="40"/>
      <c r="R39" s="38"/>
      <c r="T39" s="40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</row>
    <row r="40" spans="1:32" x14ac:dyDescent="0.25">
      <c r="A40" s="1" t="str">
        <f>Grafikon!$B29</f>
        <v>Os 4353</v>
      </c>
      <c r="B40" s="199"/>
      <c r="C40" s="2">
        <f>Grafikon!$D29</f>
        <v>26.718</v>
      </c>
      <c r="D40" s="3">
        <f>Grafikon!$G29</f>
        <v>300</v>
      </c>
      <c r="E40" s="10">
        <f>IFERROR(VLOOKUP($B40,Súpravy!$A$6:$Q$31,6,FALSE),0)</f>
        <v>0</v>
      </c>
      <c r="F40" s="31">
        <f t="shared" si="4"/>
        <v>0</v>
      </c>
      <c r="G40" s="10">
        <f>IFERROR(VLOOKUP($B40,Súpravy!$A$6:$Q$31,3,FALSE),0)</f>
        <v>0</v>
      </c>
      <c r="H40" s="17">
        <f t="shared" si="6"/>
        <v>0</v>
      </c>
      <c r="I40" s="12">
        <f>IFERROR(VLOOKUP($B40,Súpravy!$A$6:$Q$31,9,FALSE),0)</f>
        <v>0</v>
      </c>
      <c r="J40" s="12">
        <f>IFERROR(VLOOKUP($B40,Súpravy!$A$6:$Q$31,12,FALSE),0)</f>
        <v>0</v>
      </c>
      <c r="K40" s="12">
        <f>IFERROR(VLOOKUP($B40,Súpravy!$A$6:$Q$31,17,FALSE),0)</f>
        <v>0</v>
      </c>
      <c r="L40" s="12">
        <f>IFERROR(VLOOKUP($B40,Súpravy!$A$6:$Q$31,18,FALSE),0)</f>
        <v>0</v>
      </c>
      <c r="M40" s="17">
        <f t="shared" si="5"/>
        <v>0</v>
      </c>
      <c r="N40" s="93">
        <f>IF(OR(C40=53.328,M40&lt;=80%),0,D40*(Ocenenie!$E$56*(M40)*(M40)*(M40)+Ocenenie!$E$57*(M40)*(M40)+Ocenenie!$E$58*(M40)-Ocenenie!$E$60))</f>
        <v>0</v>
      </c>
      <c r="P40" s="40"/>
      <c r="R40" s="38"/>
      <c r="T40" s="40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</row>
    <row r="41" spans="1:32" x14ac:dyDescent="0.25">
      <c r="A41" s="1" t="str">
        <f>Grafikon!$B30</f>
        <v>Zr 1777</v>
      </c>
      <c r="B41" s="199"/>
      <c r="C41" s="2">
        <f>Grafikon!$D30</f>
        <v>100.175</v>
      </c>
      <c r="D41" s="3">
        <f>Grafikon!$G30</f>
        <v>200</v>
      </c>
      <c r="E41" s="10">
        <f>IFERROR(VLOOKUP($B41,Súpravy!$A$6:$Q$31,6,FALSE),0)</f>
        <v>0</v>
      </c>
      <c r="F41" s="31">
        <f t="shared" si="4"/>
        <v>0</v>
      </c>
      <c r="G41" s="10">
        <f>IFERROR(VLOOKUP($B41,Súpravy!$A$6:$Q$31,3,FALSE),0)</f>
        <v>0</v>
      </c>
      <c r="H41" s="17">
        <f t="shared" si="6"/>
        <v>0</v>
      </c>
      <c r="I41" s="12">
        <f>IFERROR(VLOOKUP($B41,Súpravy!$A$6:$Q$31,9,FALSE),0)</f>
        <v>0</v>
      </c>
      <c r="J41" s="12">
        <f>IFERROR(VLOOKUP($B41,Súpravy!$A$6:$Q$31,12,FALSE),0)</f>
        <v>0</v>
      </c>
      <c r="K41" s="12">
        <f>IFERROR(VLOOKUP($B41,Súpravy!$A$6:$Q$31,17,FALSE),0)</f>
        <v>0</v>
      </c>
      <c r="L41" s="12">
        <f>IFERROR(VLOOKUP($B41,Súpravy!$A$6:$Q$31,18,FALSE),0)</f>
        <v>0</v>
      </c>
      <c r="M41" s="17">
        <f t="shared" si="5"/>
        <v>0</v>
      </c>
      <c r="N41" s="93">
        <f>IF(OR(C41=53.328,M41&lt;=80%),0,D41*(Ocenenie!$E$56*(M41)*(M41)*(M41)+Ocenenie!$E$57*(M41)*(M41)+Ocenenie!$E$58*(M41)-Ocenenie!$E$60))</f>
        <v>0</v>
      </c>
      <c r="P41" s="40"/>
      <c r="R41" s="38"/>
      <c r="T41" s="40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</row>
    <row r="42" spans="1:32" x14ac:dyDescent="0.25">
      <c r="A42" s="1" t="str">
        <f>Grafikon!$B31</f>
        <v>Os 4319</v>
      </c>
      <c r="B42" s="199"/>
      <c r="C42" s="2">
        <f>Grafikon!$D31</f>
        <v>46.847000000000001</v>
      </c>
      <c r="D42" s="3">
        <f>Grafikon!$G31</f>
        <v>400</v>
      </c>
      <c r="E42" s="10">
        <f>IFERROR(VLOOKUP($B42,Súpravy!$A$6:$Q$31,6,FALSE),0)</f>
        <v>0</v>
      </c>
      <c r="F42" s="31">
        <f t="shared" si="4"/>
        <v>0</v>
      </c>
      <c r="G42" s="10">
        <f>IFERROR(VLOOKUP($B42,Súpravy!$A$6:$Q$31,3,FALSE),0)</f>
        <v>0</v>
      </c>
      <c r="H42" s="17">
        <f t="shared" si="6"/>
        <v>0</v>
      </c>
      <c r="I42" s="12">
        <f>IFERROR(VLOOKUP($B42,Súpravy!$A$6:$Q$31,9,FALSE),0)</f>
        <v>0</v>
      </c>
      <c r="J42" s="12">
        <f>IFERROR(VLOOKUP($B42,Súpravy!$A$6:$Q$31,12,FALSE),0)</f>
        <v>0</v>
      </c>
      <c r="K42" s="12">
        <f>IFERROR(VLOOKUP($B42,Súpravy!$A$6:$Q$31,17,FALSE),0)</f>
        <v>0</v>
      </c>
      <c r="L42" s="12">
        <f>IFERROR(VLOOKUP($B42,Súpravy!$A$6:$Q$31,18,FALSE),0)</f>
        <v>0</v>
      </c>
      <c r="M42" s="17">
        <f t="shared" si="5"/>
        <v>0</v>
      </c>
      <c r="N42" s="93">
        <f>IF(OR(C42=53.328,M42&lt;=80%),0,D42*(Ocenenie!$E$56*(M42)*(M42)*(M42)+Ocenenie!$E$57*(M42)*(M42)+Ocenenie!$E$58*(M42)-Ocenenie!$E$60))</f>
        <v>0</v>
      </c>
      <c r="P42" s="40"/>
      <c r="R42" s="38"/>
      <c r="T42" s="40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</row>
    <row r="43" spans="1:32" x14ac:dyDescent="0.25">
      <c r="A43" s="1" t="str">
        <f>Grafikon!$B32</f>
        <v>Os 4355</v>
      </c>
      <c r="B43" s="199"/>
      <c r="C43" s="2">
        <f>Grafikon!$D32</f>
        <v>26.718</v>
      </c>
      <c r="D43" s="3">
        <f>Grafikon!$G32</f>
        <v>300</v>
      </c>
      <c r="E43" s="10">
        <f>IFERROR(VLOOKUP($B43,Súpravy!$A$6:$Q$31,6,FALSE),0)</f>
        <v>0</v>
      </c>
      <c r="F43" s="31">
        <f t="shared" si="4"/>
        <v>0</v>
      </c>
      <c r="G43" s="10">
        <f>IFERROR(VLOOKUP($B43,Súpravy!$A$6:$Q$31,3,FALSE),0)</f>
        <v>0</v>
      </c>
      <c r="H43" s="17">
        <f t="shared" si="6"/>
        <v>0</v>
      </c>
      <c r="I43" s="12">
        <f>IFERROR(VLOOKUP($B43,Súpravy!$A$6:$Q$31,9,FALSE),0)</f>
        <v>0</v>
      </c>
      <c r="J43" s="12">
        <f>IFERROR(VLOOKUP($B43,Súpravy!$A$6:$Q$31,12,FALSE),0)</f>
        <v>0</v>
      </c>
      <c r="K43" s="12">
        <f>IFERROR(VLOOKUP($B43,Súpravy!$A$6:$Q$31,17,FALSE),0)</f>
        <v>0</v>
      </c>
      <c r="L43" s="12">
        <f>IFERROR(VLOOKUP($B43,Súpravy!$A$6:$Q$31,18,FALSE),0)</f>
        <v>0</v>
      </c>
      <c r="M43" s="17">
        <f t="shared" si="5"/>
        <v>0</v>
      </c>
      <c r="N43" s="93">
        <f>IF(OR(C43=53.328,M43&lt;=80%),0,D43*(Ocenenie!$E$56*(M43)*(M43)*(M43)+Ocenenie!$E$57*(M43)*(M43)+Ocenenie!$E$58*(M43)-Ocenenie!$E$60))</f>
        <v>0</v>
      </c>
      <c r="P43" s="40"/>
      <c r="R43" s="38"/>
      <c r="T43" s="40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</row>
    <row r="44" spans="1:32" x14ac:dyDescent="0.25">
      <c r="A44" s="1" t="str">
        <f>Grafikon!$B33</f>
        <v>Zr 1779</v>
      </c>
      <c r="B44" s="199"/>
      <c r="C44" s="2">
        <f>Grafikon!$D33</f>
        <v>46.847000000000001</v>
      </c>
      <c r="D44" s="3">
        <f>Grafikon!$G33</f>
        <v>300</v>
      </c>
      <c r="E44" s="10">
        <f>IFERROR(VLOOKUP($B44,Súpravy!$A$6:$Q$31,6,FALSE),0)</f>
        <v>0</v>
      </c>
      <c r="F44" s="31">
        <f t="shared" si="4"/>
        <v>0</v>
      </c>
      <c r="G44" s="10">
        <f>IFERROR(VLOOKUP($B44,Súpravy!$A$6:$Q$31,3,FALSE),0)</f>
        <v>0</v>
      </c>
      <c r="H44" s="17">
        <f t="shared" si="6"/>
        <v>0</v>
      </c>
      <c r="I44" s="12">
        <f>IFERROR(VLOOKUP($B44,Súpravy!$A$6:$Q$31,9,FALSE),0)</f>
        <v>0</v>
      </c>
      <c r="J44" s="12">
        <f>IFERROR(VLOOKUP($B44,Súpravy!$A$6:$Q$31,12,FALSE),0)</f>
        <v>0</v>
      </c>
      <c r="K44" s="12">
        <f>IFERROR(VLOOKUP($B44,Súpravy!$A$6:$Q$31,17,FALSE),0)</f>
        <v>0</v>
      </c>
      <c r="L44" s="12">
        <f>IFERROR(VLOOKUP($B44,Súpravy!$A$6:$Q$31,18,FALSE),0)</f>
        <v>0</v>
      </c>
      <c r="M44" s="17">
        <f t="shared" si="5"/>
        <v>0</v>
      </c>
      <c r="N44" s="93">
        <f>IF(OR(C44=53.328,M44&lt;=80%),0,D44*(Ocenenie!$E$56*(M44)*(M44)*(M44)+Ocenenie!$E$57*(M44)*(M44)+Ocenenie!$E$58*(M44)-Ocenenie!$E$60))</f>
        <v>0</v>
      </c>
      <c r="P44" s="40"/>
      <c r="R44" s="38"/>
      <c r="T44" s="40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</row>
    <row r="45" spans="1:32" x14ac:dyDescent="0.25">
      <c r="A45" s="1" t="str">
        <f>Grafikon!$B34</f>
        <v>Os 4381</v>
      </c>
      <c r="B45" s="199"/>
      <c r="C45" s="2">
        <f>Grafikon!$D34</f>
        <v>53.328000000000003</v>
      </c>
      <c r="D45" s="3">
        <f>Grafikon!$G34</f>
        <v>200</v>
      </c>
      <c r="E45" s="10">
        <f>IFERROR(VLOOKUP($B45,Súpravy!$A$6:$Q$31,6,FALSE),0)</f>
        <v>0</v>
      </c>
      <c r="F45" s="31">
        <f t="shared" si="4"/>
        <v>0</v>
      </c>
      <c r="G45" s="10">
        <f>IFERROR(VLOOKUP($B45,Súpravy!$A$6:$Q$31,3,FALSE),0)</f>
        <v>0</v>
      </c>
      <c r="H45" s="17">
        <f t="shared" si="6"/>
        <v>0</v>
      </c>
      <c r="I45" s="12">
        <f>IFERROR(VLOOKUP($B45,Súpravy!$A$6:$Q$31,9,FALSE),0)</f>
        <v>0</v>
      </c>
      <c r="J45" s="12">
        <f>IFERROR(VLOOKUP($B45,Súpravy!$A$6:$Q$31,12,FALSE),0)</f>
        <v>0</v>
      </c>
      <c r="K45" s="12">
        <f>IFERROR(VLOOKUP($B45,Súpravy!$A$6:$Q$31,17,FALSE),0)</f>
        <v>0</v>
      </c>
      <c r="L45" s="12">
        <f>IFERROR(VLOOKUP($B45,Súpravy!$A$6:$Q$31,18,FALSE),0)</f>
        <v>0</v>
      </c>
      <c r="M45" s="17">
        <f t="shared" si="5"/>
        <v>0</v>
      </c>
      <c r="N45" s="93">
        <f>IF(OR(C45=53.328,M45&lt;=80%),0,D45*(Ocenenie!$E$56*(M45)*(M45)*(M45)+Ocenenie!$E$57*(M45)*(M45)+Ocenenie!$E$58*(M45)-Ocenenie!$E$60))</f>
        <v>0</v>
      </c>
      <c r="P45" s="40"/>
      <c r="R45" s="38"/>
      <c r="T45" s="40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</row>
    <row r="46" spans="1:32" x14ac:dyDescent="0.25">
      <c r="A46" s="1" t="str">
        <f>Grafikon!$B35</f>
        <v>Os 4321</v>
      </c>
      <c r="B46" s="199"/>
      <c r="C46" s="2">
        <f>Grafikon!$D35</f>
        <v>46.847000000000001</v>
      </c>
      <c r="D46" s="3">
        <f>Grafikon!$G35</f>
        <v>600</v>
      </c>
      <c r="E46" s="10">
        <f>IFERROR(VLOOKUP($B46,Súpravy!$A$6:$Q$31,6,FALSE),0)</f>
        <v>0</v>
      </c>
      <c r="F46" s="31">
        <f t="shared" si="4"/>
        <v>0</v>
      </c>
      <c r="G46" s="10">
        <f>IFERROR(VLOOKUP($B46,Súpravy!$A$6:$Q$31,3,FALSE),0)</f>
        <v>0</v>
      </c>
      <c r="H46" s="17">
        <f t="shared" si="6"/>
        <v>0</v>
      </c>
      <c r="I46" s="12">
        <f>IFERROR(VLOOKUP($B46,Súpravy!$A$6:$Q$31,9,FALSE),0)</f>
        <v>0</v>
      </c>
      <c r="J46" s="12">
        <f>IFERROR(VLOOKUP($B46,Súpravy!$A$6:$Q$31,12,FALSE),0)</f>
        <v>0</v>
      </c>
      <c r="K46" s="12">
        <f>IFERROR(VLOOKUP($B46,Súpravy!$A$6:$Q$31,17,FALSE),0)</f>
        <v>0</v>
      </c>
      <c r="L46" s="12">
        <f>IFERROR(VLOOKUP($B46,Súpravy!$A$6:$Q$31,18,FALSE),0)</f>
        <v>0</v>
      </c>
      <c r="M46" s="17">
        <f t="shared" si="5"/>
        <v>0</v>
      </c>
      <c r="N46" s="93">
        <f>IF(OR(C46=53.328,M46&lt;=80%),0,D46*(Ocenenie!$E$56*(M46)*(M46)*(M46)+Ocenenie!$E$57*(M46)*(M46)+Ocenenie!$E$58*(M46)-Ocenenie!$E$60))</f>
        <v>0</v>
      </c>
      <c r="P46" s="40"/>
      <c r="R46" s="38"/>
      <c r="T46" s="40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</row>
    <row r="47" spans="1:32" x14ac:dyDescent="0.25">
      <c r="A47" s="1" t="str">
        <f>Grafikon!$B36</f>
        <v>Os 4357</v>
      </c>
      <c r="B47" s="199"/>
      <c r="C47" s="2">
        <f>Grafikon!$D36</f>
        <v>26.718</v>
      </c>
      <c r="D47" s="3">
        <f>Grafikon!$G36</f>
        <v>300</v>
      </c>
      <c r="E47" s="10">
        <f>IFERROR(VLOOKUP($B47,Súpravy!$A$6:$Q$31,6,FALSE),0)</f>
        <v>0</v>
      </c>
      <c r="F47" s="31">
        <f t="shared" ref="F47:F63" si="7">MIN(E47/D47,1)</f>
        <v>0</v>
      </c>
      <c r="G47" s="10">
        <f>IFERROR(VLOOKUP($B47,Súpravy!$A$6:$Q$31,3,FALSE),0)</f>
        <v>0</v>
      </c>
      <c r="H47" s="17">
        <f t="shared" si="6"/>
        <v>0</v>
      </c>
      <c r="I47" s="12">
        <f>IFERROR(VLOOKUP($B47,Súpravy!$A$6:$Q$31,9,FALSE),0)</f>
        <v>0</v>
      </c>
      <c r="J47" s="12">
        <f>IFERROR(VLOOKUP($B47,Súpravy!$A$6:$Q$31,12,FALSE),0)</f>
        <v>0</v>
      </c>
      <c r="K47" s="12">
        <f>IFERROR(VLOOKUP($B47,Súpravy!$A$6:$Q$31,17,FALSE),0)</f>
        <v>0</v>
      </c>
      <c r="L47" s="12">
        <f>IFERROR(VLOOKUP($B47,Súpravy!$A$6:$Q$31,18,FALSE),0)</f>
        <v>0</v>
      </c>
      <c r="M47" s="17">
        <f t="shared" ref="M47:M63" si="8">IFERROR(D47/G47,0)</f>
        <v>0</v>
      </c>
      <c r="N47" s="93">
        <f>IF(OR(C47=53.328,M47&lt;=80%),0,D47*(Ocenenie!$E$56*(M47)*(M47)*(M47)+Ocenenie!$E$57*(M47)*(M47)+Ocenenie!$E$58*(M47)-Ocenenie!$E$60))</f>
        <v>0</v>
      </c>
      <c r="P47" s="40"/>
      <c r="R47" s="38"/>
      <c r="T47" s="40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</row>
    <row r="48" spans="1:32" x14ac:dyDescent="0.25">
      <c r="A48" s="1" t="str">
        <f>Grafikon!$B37</f>
        <v>Zr 1781</v>
      </c>
      <c r="B48" s="199"/>
      <c r="C48" s="2">
        <f>Grafikon!$D37</f>
        <v>100.175</v>
      </c>
      <c r="D48" s="3">
        <f>Grafikon!$G37</f>
        <v>300</v>
      </c>
      <c r="E48" s="10">
        <f>IFERROR(VLOOKUP($B48,Súpravy!$A$6:$Q$31,6,FALSE),0)</f>
        <v>0</v>
      </c>
      <c r="F48" s="31">
        <f t="shared" si="7"/>
        <v>0</v>
      </c>
      <c r="G48" s="10">
        <f>IFERROR(VLOOKUP($B48,Súpravy!$A$6:$Q$31,3,FALSE),0)</f>
        <v>0</v>
      </c>
      <c r="H48" s="17">
        <f t="shared" si="6"/>
        <v>0</v>
      </c>
      <c r="I48" s="12">
        <f>IFERROR(VLOOKUP($B48,Súpravy!$A$6:$Q$31,9,FALSE),0)</f>
        <v>0</v>
      </c>
      <c r="J48" s="12">
        <f>IFERROR(VLOOKUP($B48,Súpravy!$A$6:$Q$31,12,FALSE),0)</f>
        <v>0</v>
      </c>
      <c r="K48" s="12">
        <f>IFERROR(VLOOKUP($B48,Súpravy!$A$6:$Q$31,17,FALSE),0)</f>
        <v>0</v>
      </c>
      <c r="L48" s="12">
        <f>IFERROR(VLOOKUP($B48,Súpravy!$A$6:$Q$31,18,FALSE),0)</f>
        <v>0</v>
      </c>
      <c r="M48" s="17">
        <f t="shared" si="8"/>
        <v>0</v>
      </c>
      <c r="N48" s="93">
        <f>IF(OR(C48=53.328,M48&lt;=80%),0,D48*(Ocenenie!$E$56*(M48)*(M48)*(M48)+Ocenenie!$E$57*(M48)*(M48)+Ocenenie!$E$58*(M48)-Ocenenie!$E$60))</f>
        <v>0</v>
      </c>
      <c r="P48" s="40"/>
      <c r="R48" s="38"/>
      <c r="T48" s="40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</row>
    <row r="49" spans="1:32" x14ac:dyDescent="0.25">
      <c r="A49" s="1" t="str">
        <f>Grafikon!$B38</f>
        <v>Os 4323</v>
      </c>
      <c r="B49" s="199"/>
      <c r="C49" s="2">
        <f>Grafikon!$D38</f>
        <v>46.847000000000001</v>
      </c>
      <c r="D49" s="3">
        <f>Grafikon!$G38</f>
        <v>400</v>
      </c>
      <c r="E49" s="10">
        <f>IFERROR(VLOOKUP($B49,Súpravy!$A$6:$Q$31,6,FALSE),0)</f>
        <v>0</v>
      </c>
      <c r="F49" s="31">
        <f t="shared" si="7"/>
        <v>0</v>
      </c>
      <c r="G49" s="10">
        <f>IFERROR(VLOOKUP($B49,Súpravy!$A$6:$Q$31,3,FALSE),0)</f>
        <v>0</v>
      </c>
      <c r="H49" s="17">
        <f t="shared" si="6"/>
        <v>0</v>
      </c>
      <c r="I49" s="12">
        <f>IFERROR(VLOOKUP($B49,Súpravy!$A$6:$Q$31,9,FALSE),0)</f>
        <v>0</v>
      </c>
      <c r="J49" s="12">
        <f>IFERROR(VLOOKUP($B49,Súpravy!$A$6:$Q$31,12,FALSE),0)</f>
        <v>0</v>
      </c>
      <c r="K49" s="12">
        <f>IFERROR(VLOOKUP($B49,Súpravy!$A$6:$Q$31,17,FALSE),0)</f>
        <v>0</v>
      </c>
      <c r="L49" s="12">
        <f>IFERROR(VLOOKUP($B49,Súpravy!$A$6:$Q$31,18,FALSE),0)</f>
        <v>0</v>
      </c>
      <c r="M49" s="17">
        <f t="shared" si="8"/>
        <v>0</v>
      </c>
      <c r="N49" s="93">
        <f>IF(OR(C49=53.328,M49&lt;=80%),0,D49*(Ocenenie!$E$56*(M49)*(M49)*(M49)+Ocenenie!$E$57*(M49)*(M49)+Ocenenie!$E$58*(M49)-Ocenenie!$E$60))</f>
        <v>0</v>
      </c>
      <c r="P49" s="40"/>
      <c r="R49" s="38"/>
      <c r="T49" s="40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</row>
    <row r="50" spans="1:32" x14ac:dyDescent="0.25">
      <c r="A50" s="1" t="str">
        <f>Grafikon!$B39</f>
        <v>Os 4359</v>
      </c>
      <c r="B50" s="199"/>
      <c r="C50" s="2">
        <f>Grafikon!$D39</f>
        <v>26.718</v>
      </c>
      <c r="D50" s="3">
        <f>Grafikon!$G39</f>
        <v>300</v>
      </c>
      <c r="E50" s="10">
        <f>IFERROR(VLOOKUP($B50,Súpravy!$A$6:$Q$31,6,FALSE),0)</f>
        <v>0</v>
      </c>
      <c r="F50" s="31">
        <f t="shared" si="7"/>
        <v>0</v>
      </c>
      <c r="G50" s="10">
        <f>IFERROR(VLOOKUP($B50,Súpravy!$A$6:$Q$31,3,FALSE),0)</f>
        <v>0</v>
      </c>
      <c r="H50" s="17">
        <f t="shared" si="6"/>
        <v>0</v>
      </c>
      <c r="I50" s="12">
        <f>IFERROR(VLOOKUP($B50,Súpravy!$A$6:$Q$31,9,FALSE),0)</f>
        <v>0</v>
      </c>
      <c r="J50" s="12">
        <f>IFERROR(VLOOKUP($B50,Súpravy!$A$6:$Q$31,12,FALSE),0)</f>
        <v>0</v>
      </c>
      <c r="K50" s="12">
        <f>IFERROR(VLOOKUP($B50,Súpravy!$A$6:$Q$31,17,FALSE),0)</f>
        <v>0</v>
      </c>
      <c r="L50" s="12">
        <f>IFERROR(VLOOKUP($B50,Súpravy!$A$6:$Q$31,18,FALSE),0)</f>
        <v>0</v>
      </c>
      <c r="M50" s="17">
        <f t="shared" si="8"/>
        <v>0</v>
      </c>
      <c r="N50" s="93">
        <f>IF(OR(C50=53.328,M50&lt;=80%),0,D50*(Ocenenie!$E$56*(M50)*(M50)*(M50)+Ocenenie!$E$57*(M50)*(M50)+Ocenenie!$E$58*(M50)-Ocenenie!$E$60))</f>
        <v>0</v>
      </c>
      <c r="P50" s="40"/>
      <c r="R50" s="38"/>
      <c r="T50" s="40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</row>
    <row r="51" spans="1:32" x14ac:dyDescent="0.25">
      <c r="A51" s="1" t="str">
        <f>Grafikon!$B40</f>
        <v>Zr 1783</v>
      </c>
      <c r="B51" s="199"/>
      <c r="C51" s="2">
        <f>Grafikon!$D40</f>
        <v>46.847000000000001</v>
      </c>
      <c r="D51" s="3">
        <f>Grafikon!$G40</f>
        <v>200</v>
      </c>
      <c r="E51" s="10">
        <f>IFERROR(VLOOKUP($B51,Súpravy!$A$6:$Q$31,6,FALSE),0)</f>
        <v>0</v>
      </c>
      <c r="F51" s="31">
        <f t="shared" si="7"/>
        <v>0</v>
      </c>
      <c r="G51" s="10">
        <f>IFERROR(VLOOKUP($B51,Súpravy!$A$6:$Q$31,3,FALSE),0)</f>
        <v>0</v>
      </c>
      <c r="H51" s="17">
        <f t="shared" si="6"/>
        <v>0</v>
      </c>
      <c r="I51" s="12">
        <f>IFERROR(VLOOKUP($B51,Súpravy!$A$6:$Q$31,9,FALSE),0)</f>
        <v>0</v>
      </c>
      <c r="J51" s="12">
        <f>IFERROR(VLOOKUP($B51,Súpravy!$A$6:$Q$31,12,FALSE),0)</f>
        <v>0</v>
      </c>
      <c r="K51" s="12">
        <f>IFERROR(VLOOKUP($B51,Súpravy!$A$6:$Q$31,17,FALSE),0)</f>
        <v>0</v>
      </c>
      <c r="L51" s="12">
        <f>IFERROR(VLOOKUP($B51,Súpravy!$A$6:$Q$31,18,FALSE),0)</f>
        <v>0</v>
      </c>
      <c r="M51" s="17">
        <f t="shared" si="8"/>
        <v>0</v>
      </c>
      <c r="N51" s="93">
        <f>IF(OR(C51=53.328,M51&lt;=80%),0,D51*(Ocenenie!$E$56*(M51)*(M51)*(M51)+Ocenenie!$E$57*(M51)*(M51)+Ocenenie!$E$58*(M51)-Ocenenie!$E$60))</f>
        <v>0</v>
      </c>
      <c r="P51" s="40"/>
      <c r="R51" s="38"/>
      <c r="T51" s="40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</row>
    <row r="52" spans="1:32" x14ac:dyDescent="0.25">
      <c r="A52" s="1" t="str">
        <f>Grafikon!$B41</f>
        <v>Os 4383</v>
      </c>
      <c r="B52" s="199"/>
      <c r="C52" s="2">
        <f>Grafikon!$D41</f>
        <v>53.328000000000003</v>
      </c>
      <c r="D52" s="3">
        <f>Grafikon!$G41</f>
        <v>200</v>
      </c>
      <c r="E52" s="10">
        <f>IFERROR(VLOOKUP($B52,Súpravy!$A$6:$Q$31,6,FALSE),0)</f>
        <v>0</v>
      </c>
      <c r="F52" s="31">
        <f t="shared" si="7"/>
        <v>0</v>
      </c>
      <c r="G52" s="10">
        <f>IFERROR(VLOOKUP($B52,Súpravy!$A$6:$Q$31,3,FALSE),0)</f>
        <v>0</v>
      </c>
      <c r="H52" s="17">
        <f t="shared" si="6"/>
        <v>0</v>
      </c>
      <c r="I52" s="12">
        <f>IFERROR(VLOOKUP($B52,Súpravy!$A$6:$Q$31,9,FALSE),0)</f>
        <v>0</v>
      </c>
      <c r="J52" s="12">
        <f>IFERROR(VLOOKUP($B52,Súpravy!$A$6:$Q$31,12,FALSE),0)</f>
        <v>0</v>
      </c>
      <c r="K52" s="12">
        <f>IFERROR(VLOOKUP($B52,Súpravy!$A$6:$Q$31,17,FALSE),0)</f>
        <v>0</v>
      </c>
      <c r="L52" s="12">
        <f>IFERROR(VLOOKUP($B52,Súpravy!$A$6:$Q$31,18,FALSE),0)</f>
        <v>0</v>
      </c>
      <c r="M52" s="17">
        <f t="shared" si="8"/>
        <v>0</v>
      </c>
      <c r="N52" s="93">
        <f>IF(OR(C52=53.328,M52&lt;=80%),0,D52*(Ocenenie!$E$56*(M52)*(M52)*(M52)+Ocenenie!$E$57*(M52)*(M52)+Ocenenie!$E$58*(M52)-Ocenenie!$E$60))</f>
        <v>0</v>
      </c>
      <c r="P52" s="40"/>
      <c r="R52" s="38"/>
      <c r="T52" s="40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</row>
    <row r="53" spans="1:32" x14ac:dyDescent="0.25">
      <c r="A53" s="1" t="str">
        <f>Grafikon!$B42</f>
        <v>Os 4325</v>
      </c>
      <c r="B53" s="199"/>
      <c r="C53" s="2">
        <f>Grafikon!$D42</f>
        <v>46.847000000000001</v>
      </c>
      <c r="D53" s="3">
        <f>Grafikon!$G42</f>
        <v>400</v>
      </c>
      <c r="E53" s="10">
        <f>IFERROR(VLOOKUP($B53,Súpravy!$A$6:$Q$31,6,FALSE),0)</f>
        <v>0</v>
      </c>
      <c r="F53" s="31">
        <f t="shared" si="7"/>
        <v>0</v>
      </c>
      <c r="G53" s="10">
        <f>IFERROR(VLOOKUP($B53,Súpravy!$A$6:$Q$31,3,FALSE),0)</f>
        <v>0</v>
      </c>
      <c r="H53" s="17">
        <f t="shared" si="6"/>
        <v>0</v>
      </c>
      <c r="I53" s="12">
        <f>IFERROR(VLOOKUP($B53,Súpravy!$A$6:$Q$31,9,FALSE),0)</f>
        <v>0</v>
      </c>
      <c r="J53" s="12">
        <f>IFERROR(VLOOKUP($B53,Súpravy!$A$6:$Q$31,12,FALSE),0)</f>
        <v>0</v>
      </c>
      <c r="K53" s="12">
        <f>IFERROR(VLOOKUP($B53,Súpravy!$A$6:$Q$31,17,FALSE),0)</f>
        <v>0</v>
      </c>
      <c r="L53" s="12">
        <f>IFERROR(VLOOKUP($B53,Súpravy!$A$6:$Q$31,18,FALSE),0)</f>
        <v>0</v>
      </c>
      <c r="M53" s="17">
        <f t="shared" si="8"/>
        <v>0</v>
      </c>
      <c r="N53" s="93">
        <f>IF(OR(C53=53.328,M53&lt;=80%),0,D53*(Ocenenie!$E$56*(M53)*(M53)*(M53)+Ocenenie!$E$57*(M53)*(M53)+Ocenenie!$E$58*(M53)-Ocenenie!$E$60))</f>
        <v>0</v>
      </c>
      <c r="P53" s="40"/>
      <c r="R53" s="38"/>
      <c r="T53" s="40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</row>
    <row r="54" spans="1:32" x14ac:dyDescent="0.25">
      <c r="A54" s="1" t="str">
        <f>Grafikon!$B43</f>
        <v>Os 4361</v>
      </c>
      <c r="B54" s="199"/>
      <c r="C54" s="2">
        <f>Grafikon!$D43</f>
        <v>26.718</v>
      </c>
      <c r="D54" s="3">
        <f>Grafikon!$G43</f>
        <v>200</v>
      </c>
      <c r="E54" s="10">
        <f>IFERROR(VLOOKUP($B54,Súpravy!$A$6:$Q$31,6,FALSE),0)</f>
        <v>0</v>
      </c>
      <c r="F54" s="31">
        <f t="shared" si="7"/>
        <v>0</v>
      </c>
      <c r="G54" s="10">
        <f>IFERROR(VLOOKUP($B54,Súpravy!$A$6:$Q$31,3,FALSE),0)</f>
        <v>0</v>
      </c>
      <c r="H54" s="17">
        <f t="shared" si="6"/>
        <v>0</v>
      </c>
      <c r="I54" s="12">
        <f>IFERROR(VLOOKUP($B54,Súpravy!$A$6:$Q$31,9,FALSE),0)</f>
        <v>0</v>
      </c>
      <c r="J54" s="12">
        <f>IFERROR(VLOOKUP($B54,Súpravy!$A$6:$Q$31,12,FALSE),0)</f>
        <v>0</v>
      </c>
      <c r="K54" s="12">
        <f>IFERROR(VLOOKUP($B54,Súpravy!$A$6:$Q$31,17,FALSE),0)</f>
        <v>0</v>
      </c>
      <c r="L54" s="12">
        <f>IFERROR(VLOOKUP($B54,Súpravy!$A$6:$Q$31,18,FALSE),0)</f>
        <v>0</v>
      </c>
      <c r="M54" s="17">
        <f t="shared" si="8"/>
        <v>0</v>
      </c>
      <c r="N54" s="93">
        <f>IF(OR(C54=53.328,M54&lt;=80%),0,D54*(Ocenenie!$E$56*(M54)*(M54)*(M54)+Ocenenie!$E$57*(M54)*(M54)+Ocenenie!$E$58*(M54)-Ocenenie!$E$60))</f>
        <v>0</v>
      </c>
      <c r="P54" s="40"/>
      <c r="R54" s="38"/>
      <c r="T54" s="40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</row>
    <row r="55" spans="1:32" x14ac:dyDescent="0.25">
      <c r="A55" s="1" t="str">
        <f>Grafikon!$B44</f>
        <v>Zr 1785</v>
      </c>
      <c r="B55" s="199"/>
      <c r="C55" s="2">
        <f>Grafikon!$D44</f>
        <v>100.175</v>
      </c>
      <c r="D55" s="3">
        <f>Grafikon!$G44</f>
        <v>100</v>
      </c>
      <c r="E55" s="10">
        <f>IFERROR(VLOOKUP($B55,Súpravy!$A$6:$Q$31,6,FALSE),0)</f>
        <v>0</v>
      </c>
      <c r="F55" s="31">
        <f t="shared" si="7"/>
        <v>0</v>
      </c>
      <c r="G55" s="10">
        <f>IFERROR(VLOOKUP($B55,Súpravy!$A$6:$Q$31,3,FALSE),0)</f>
        <v>0</v>
      </c>
      <c r="H55" s="17">
        <f t="shared" si="6"/>
        <v>0</v>
      </c>
      <c r="I55" s="12">
        <f>IFERROR(VLOOKUP($B55,Súpravy!$A$6:$Q$31,9,FALSE),0)</f>
        <v>0</v>
      </c>
      <c r="J55" s="12">
        <f>IFERROR(VLOOKUP($B55,Súpravy!$A$6:$Q$31,12,FALSE),0)</f>
        <v>0</v>
      </c>
      <c r="K55" s="12">
        <f>IFERROR(VLOOKUP($B55,Súpravy!$A$6:$Q$31,17,FALSE),0)</f>
        <v>0</v>
      </c>
      <c r="L55" s="12">
        <f>IFERROR(VLOOKUP($B55,Súpravy!$A$6:$Q$31,18,FALSE),0)</f>
        <v>0</v>
      </c>
      <c r="M55" s="17">
        <f t="shared" si="8"/>
        <v>0</v>
      </c>
      <c r="N55" s="93">
        <f>IF(OR(C55=53.328,M55&lt;=80%),0,D55*(Ocenenie!$E$56*(M55)*(M55)*(M55)+Ocenenie!$E$57*(M55)*(M55)+Ocenenie!$E$58*(M55)-Ocenenie!$E$60))</f>
        <v>0</v>
      </c>
      <c r="P55" s="40"/>
      <c r="R55" s="38"/>
      <c r="T55" s="40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</row>
    <row r="56" spans="1:32" x14ac:dyDescent="0.25">
      <c r="A56" s="1" t="str">
        <f>Grafikon!$B45</f>
        <v>Os 4327</v>
      </c>
      <c r="B56" s="199"/>
      <c r="C56" s="2">
        <f>Grafikon!$D45</f>
        <v>46.847000000000001</v>
      </c>
      <c r="D56" s="3">
        <f>Grafikon!$G45</f>
        <v>200</v>
      </c>
      <c r="E56" s="10">
        <f>IFERROR(VLOOKUP($B56,Súpravy!$A$6:$Q$31,6,FALSE),0)</f>
        <v>0</v>
      </c>
      <c r="F56" s="31">
        <f t="shared" si="7"/>
        <v>0</v>
      </c>
      <c r="G56" s="10">
        <f>IFERROR(VLOOKUP($B56,Súpravy!$A$6:$Q$31,3,FALSE),0)</f>
        <v>0</v>
      </c>
      <c r="H56" s="17">
        <f t="shared" si="6"/>
        <v>0</v>
      </c>
      <c r="I56" s="12">
        <f>IFERROR(VLOOKUP($B56,Súpravy!$A$6:$Q$31,9,FALSE),0)</f>
        <v>0</v>
      </c>
      <c r="J56" s="12">
        <f>IFERROR(VLOOKUP($B56,Súpravy!$A$6:$Q$31,12,FALSE),0)</f>
        <v>0</v>
      </c>
      <c r="K56" s="12">
        <f>IFERROR(VLOOKUP($B56,Súpravy!$A$6:$Q$31,17,FALSE),0)</f>
        <v>0</v>
      </c>
      <c r="L56" s="12">
        <f>IFERROR(VLOOKUP($B56,Súpravy!$A$6:$Q$31,18,FALSE),0)</f>
        <v>0</v>
      </c>
      <c r="M56" s="17">
        <f t="shared" si="8"/>
        <v>0</v>
      </c>
      <c r="N56" s="93">
        <f>IF(OR(C56=53.328,M56&lt;=80%),0,D56*(Ocenenie!$E$56*(M56)*(M56)*(M56)+Ocenenie!$E$57*(M56)*(M56)+Ocenenie!$E$58*(M56)-Ocenenie!$E$60))</f>
        <v>0</v>
      </c>
      <c r="P56" s="40"/>
      <c r="R56" s="38"/>
      <c r="T56" s="40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</row>
    <row r="57" spans="1:32" x14ac:dyDescent="0.25">
      <c r="A57" s="1" t="str">
        <f>Grafikon!$B46</f>
        <v>Os 4363</v>
      </c>
      <c r="B57" s="199"/>
      <c r="C57" s="2">
        <f>Grafikon!$D46</f>
        <v>26.718</v>
      </c>
      <c r="D57" s="3">
        <f>Grafikon!$G46</f>
        <v>100</v>
      </c>
      <c r="E57" s="10">
        <f>IFERROR(VLOOKUP($B57,Súpravy!$A$6:$Q$31,6,FALSE),0)</f>
        <v>0</v>
      </c>
      <c r="F57" s="31">
        <f t="shared" si="7"/>
        <v>0</v>
      </c>
      <c r="G57" s="10">
        <f>IFERROR(VLOOKUP($B57,Súpravy!$A$6:$Q$31,3,FALSE),0)</f>
        <v>0</v>
      </c>
      <c r="H57" s="17">
        <f t="shared" si="6"/>
        <v>0</v>
      </c>
      <c r="I57" s="12">
        <f>IFERROR(VLOOKUP($B57,Súpravy!$A$6:$Q$31,9,FALSE),0)</f>
        <v>0</v>
      </c>
      <c r="J57" s="12">
        <f>IFERROR(VLOOKUP($B57,Súpravy!$A$6:$Q$31,12,FALSE),0)</f>
        <v>0</v>
      </c>
      <c r="K57" s="12">
        <f>IFERROR(VLOOKUP($B57,Súpravy!$A$6:$Q$31,17,FALSE),0)</f>
        <v>0</v>
      </c>
      <c r="L57" s="12">
        <f>IFERROR(VLOOKUP($B57,Súpravy!$A$6:$Q$31,18,FALSE),0)</f>
        <v>0</v>
      </c>
      <c r="M57" s="17">
        <f t="shared" si="8"/>
        <v>0</v>
      </c>
      <c r="N57" s="93">
        <f>IF(OR(C57=53.328,M57&lt;=80%),0,D57*(Ocenenie!$E$56*(M57)*(M57)*(M57)+Ocenenie!$E$57*(M57)*(M57)+Ocenenie!$E$58*(M57)-Ocenenie!$E$60))</f>
        <v>0</v>
      </c>
      <c r="P57" s="40"/>
      <c r="R57" s="38"/>
      <c r="T57" s="40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</row>
    <row r="58" spans="1:32" x14ac:dyDescent="0.25">
      <c r="A58" s="1" t="str">
        <f>Grafikon!$B47</f>
        <v>Zr 1787</v>
      </c>
      <c r="B58" s="199"/>
      <c r="C58" s="2">
        <f>Grafikon!$D47</f>
        <v>46.847000000000001</v>
      </c>
      <c r="D58" s="3">
        <f>Grafikon!$G47</f>
        <v>200</v>
      </c>
      <c r="E58" s="10">
        <f>IFERROR(VLOOKUP($B58,Súpravy!$A$6:$Q$31,6,FALSE),0)</f>
        <v>0</v>
      </c>
      <c r="F58" s="31">
        <f t="shared" si="7"/>
        <v>0</v>
      </c>
      <c r="G58" s="10">
        <f>IFERROR(VLOOKUP($B58,Súpravy!$A$6:$Q$31,3,FALSE),0)</f>
        <v>0</v>
      </c>
      <c r="H58" s="17">
        <f t="shared" si="6"/>
        <v>0</v>
      </c>
      <c r="I58" s="12">
        <f>IFERROR(VLOOKUP($B58,Súpravy!$A$6:$Q$31,9,FALSE),0)</f>
        <v>0</v>
      </c>
      <c r="J58" s="12">
        <f>IFERROR(VLOOKUP($B58,Súpravy!$A$6:$Q$31,12,FALSE),0)</f>
        <v>0</v>
      </c>
      <c r="K58" s="12">
        <f>IFERROR(VLOOKUP($B58,Súpravy!$A$6:$Q$31,17,FALSE),0)</f>
        <v>0</v>
      </c>
      <c r="L58" s="12">
        <f>IFERROR(VLOOKUP($B58,Súpravy!$A$6:$Q$31,18,FALSE),0)</f>
        <v>0</v>
      </c>
      <c r="M58" s="17">
        <f t="shared" si="8"/>
        <v>0</v>
      </c>
      <c r="N58" s="93">
        <f>IF(OR(C58=53.328,M58&lt;=80%),0,D58*(Ocenenie!$E$56*(M58)*(M58)*(M58)+Ocenenie!$E$57*(M58)*(M58)+Ocenenie!$E$58*(M58)-Ocenenie!$E$60))</f>
        <v>0</v>
      </c>
      <c r="P58" s="40"/>
      <c r="R58" s="38"/>
      <c r="T58" s="40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</row>
    <row r="59" spans="1:32" x14ac:dyDescent="0.25">
      <c r="A59" s="1" t="str">
        <f>Grafikon!$B48</f>
        <v>Os 4329</v>
      </c>
      <c r="B59" s="199"/>
      <c r="C59" s="2">
        <f>Grafikon!$D48</f>
        <v>46.847000000000001</v>
      </c>
      <c r="D59" s="3">
        <f>Grafikon!$G48</f>
        <v>200</v>
      </c>
      <c r="E59" s="10">
        <f>IFERROR(VLOOKUP($B59,Súpravy!$A$6:$Q$31,6,FALSE),0)</f>
        <v>0</v>
      </c>
      <c r="F59" s="31">
        <f t="shared" si="7"/>
        <v>0</v>
      </c>
      <c r="G59" s="10">
        <f>IFERROR(VLOOKUP($B59,Súpravy!$A$6:$Q$31,3,FALSE),0)</f>
        <v>0</v>
      </c>
      <c r="H59" s="17">
        <f t="shared" si="6"/>
        <v>0</v>
      </c>
      <c r="I59" s="12">
        <f>IFERROR(VLOOKUP($B59,Súpravy!$A$6:$Q$31,9,FALSE),0)</f>
        <v>0</v>
      </c>
      <c r="J59" s="12">
        <f>IFERROR(VLOOKUP($B59,Súpravy!$A$6:$Q$31,12,FALSE),0)</f>
        <v>0</v>
      </c>
      <c r="K59" s="12">
        <f>IFERROR(VLOOKUP($B59,Súpravy!$A$6:$Q$31,17,FALSE),0)</f>
        <v>0</v>
      </c>
      <c r="L59" s="12">
        <f>IFERROR(VLOOKUP($B59,Súpravy!$A$6:$Q$31,18,FALSE),0)</f>
        <v>0</v>
      </c>
      <c r="M59" s="17">
        <f t="shared" si="8"/>
        <v>0</v>
      </c>
      <c r="N59" s="93">
        <f>IF(OR(C59=53.328,M59&lt;=80%),0,D59*(Ocenenie!$E$56*(M59)*(M59)*(M59)+Ocenenie!$E$57*(M59)*(M59)+Ocenenie!$E$58*(M59)-Ocenenie!$E$60))</f>
        <v>0</v>
      </c>
      <c r="P59" s="40"/>
      <c r="R59" s="38"/>
      <c r="T59" s="40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</row>
    <row r="60" spans="1:32" x14ac:dyDescent="0.25">
      <c r="A60" s="1" t="str">
        <f>Grafikon!$B49</f>
        <v>Zr 1789</v>
      </c>
      <c r="B60" s="199"/>
      <c r="C60" s="2">
        <f>Grafikon!$D49</f>
        <v>100.175</v>
      </c>
      <c r="D60" s="3">
        <f>Grafikon!$G49</f>
        <v>100</v>
      </c>
      <c r="E60" s="10">
        <f>IFERROR(VLOOKUP($B60,Súpravy!$A$6:$Q$31,6,FALSE),0)</f>
        <v>0</v>
      </c>
      <c r="F60" s="31">
        <f t="shared" si="7"/>
        <v>0</v>
      </c>
      <c r="G60" s="10">
        <f>IFERROR(VLOOKUP($B60,Súpravy!$A$6:$Q$31,3,FALSE),0)</f>
        <v>0</v>
      </c>
      <c r="H60" s="17">
        <f t="shared" si="6"/>
        <v>0</v>
      </c>
      <c r="I60" s="12">
        <f>IFERROR(VLOOKUP($B60,Súpravy!$A$6:$Q$31,9,FALSE),0)</f>
        <v>0</v>
      </c>
      <c r="J60" s="12">
        <f>IFERROR(VLOOKUP($B60,Súpravy!$A$6:$Q$31,12,FALSE),0)</f>
        <v>0</v>
      </c>
      <c r="K60" s="12">
        <f>IFERROR(VLOOKUP($B60,Súpravy!$A$6:$Q$31,17,FALSE),0)</f>
        <v>0</v>
      </c>
      <c r="L60" s="12">
        <f>IFERROR(VLOOKUP($B60,Súpravy!$A$6:$Q$31,18,FALSE),0)</f>
        <v>0</v>
      </c>
      <c r="M60" s="17">
        <f t="shared" si="8"/>
        <v>0</v>
      </c>
      <c r="N60" s="93">
        <f>IF(OR(C60=53.328,M60&lt;=80%),0,D60*(Ocenenie!$E$56*(M60)*(M60)*(M60)+Ocenenie!$E$57*(M60)*(M60)+Ocenenie!$E$58*(M60)-Ocenenie!$E$60))</f>
        <v>0</v>
      </c>
      <c r="P60" s="40"/>
      <c r="R60" s="38"/>
      <c r="T60" s="40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</row>
    <row r="61" spans="1:32" x14ac:dyDescent="0.25">
      <c r="A61" s="1" t="str">
        <f>Grafikon!$B50</f>
        <v>Os 4331</v>
      </c>
      <c r="B61" s="199"/>
      <c r="C61" s="2">
        <f>Grafikon!$D50</f>
        <v>46.847000000000001</v>
      </c>
      <c r="D61" s="3">
        <f>Grafikon!$G50</f>
        <v>200</v>
      </c>
      <c r="E61" s="10">
        <f>IFERROR(VLOOKUP($B61,Súpravy!$A$6:$Q$31,6,FALSE),0)</f>
        <v>0</v>
      </c>
      <c r="F61" s="31">
        <f t="shared" si="7"/>
        <v>0</v>
      </c>
      <c r="G61" s="10">
        <f>IFERROR(VLOOKUP($B61,Súpravy!$A$6:$Q$31,3,FALSE),0)</f>
        <v>0</v>
      </c>
      <c r="H61" s="17">
        <f t="shared" si="6"/>
        <v>0</v>
      </c>
      <c r="I61" s="12">
        <f>IFERROR(VLOOKUP($B61,Súpravy!$A$6:$Q$31,9,FALSE),0)</f>
        <v>0</v>
      </c>
      <c r="J61" s="12">
        <f>IFERROR(VLOOKUP($B61,Súpravy!$A$6:$Q$31,12,FALSE),0)</f>
        <v>0</v>
      </c>
      <c r="K61" s="12">
        <f>IFERROR(VLOOKUP($B61,Súpravy!$A$6:$Q$31,17,FALSE),0)</f>
        <v>0</v>
      </c>
      <c r="L61" s="12">
        <f>IFERROR(VLOOKUP($B61,Súpravy!$A$6:$Q$31,18,FALSE),0)</f>
        <v>0</v>
      </c>
      <c r="M61" s="17">
        <f t="shared" si="8"/>
        <v>0</v>
      </c>
      <c r="N61" s="93">
        <f>IF(OR(C61=53.328,M61&lt;=80%),0,D61*(Ocenenie!$E$56*(M61)*(M61)*(M61)+Ocenenie!$E$57*(M61)*(M61)+Ocenenie!$E$58*(M61)-Ocenenie!$E$60))</f>
        <v>0</v>
      </c>
      <c r="P61" s="40"/>
      <c r="R61" s="38"/>
      <c r="T61" s="40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</row>
    <row r="62" spans="1:32" x14ac:dyDescent="0.25">
      <c r="A62" s="1" t="str">
        <f>Grafikon!$B51</f>
        <v>Os 4333</v>
      </c>
      <c r="B62" s="199"/>
      <c r="C62" s="2">
        <f>Grafikon!$D51</f>
        <v>46.847000000000001</v>
      </c>
      <c r="D62" s="3">
        <f>Grafikon!$G51</f>
        <v>200</v>
      </c>
      <c r="E62" s="10">
        <f>IFERROR(VLOOKUP($B62,Súpravy!$A$6:$Q$31,6,FALSE),0)</f>
        <v>0</v>
      </c>
      <c r="F62" s="31">
        <f t="shared" si="7"/>
        <v>0</v>
      </c>
      <c r="G62" s="10">
        <f>IFERROR(VLOOKUP($B62,Súpravy!$A$6:$Q$31,3,FALSE),0)</f>
        <v>0</v>
      </c>
      <c r="H62" s="17">
        <f t="shared" si="6"/>
        <v>0</v>
      </c>
      <c r="I62" s="12">
        <f>IFERROR(VLOOKUP($B62,Súpravy!$A$6:$Q$31,9,FALSE),0)</f>
        <v>0</v>
      </c>
      <c r="J62" s="12">
        <f>IFERROR(VLOOKUP($B62,Súpravy!$A$6:$Q$31,12,FALSE),0)</f>
        <v>0</v>
      </c>
      <c r="K62" s="12">
        <f>IFERROR(VLOOKUP($B62,Súpravy!$A$6:$Q$31,17,FALSE),0)</f>
        <v>0</v>
      </c>
      <c r="L62" s="12">
        <f>IFERROR(VLOOKUP($B62,Súpravy!$A$6:$Q$31,18,FALSE),0)</f>
        <v>0</v>
      </c>
      <c r="M62" s="17">
        <f t="shared" si="8"/>
        <v>0</v>
      </c>
      <c r="N62" s="93">
        <f>IF(OR(C62=53.328,M62&lt;=80%),0,D62*(Ocenenie!$E$56*(M62)*(M62)*(M62)+Ocenenie!$E$57*(M62)*(M62)+Ocenenie!$E$58*(M62)-Ocenenie!$E$60))</f>
        <v>0</v>
      </c>
      <c r="P62" s="40"/>
      <c r="R62" s="38"/>
      <c r="T62" s="40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</row>
    <row r="63" spans="1:32" x14ac:dyDescent="0.25">
      <c r="A63" s="1" t="str">
        <f>Grafikon!$B52</f>
        <v>Os 4335</v>
      </c>
      <c r="B63" s="199"/>
      <c r="C63" s="2">
        <f>Grafikon!$D52</f>
        <v>46.847000000000001</v>
      </c>
      <c r="D63" s="3">
        <f>Grafikon!$G52</f>
        <v>100</v>
      </c>
      <c r="E63" s="10">
        <f>IFERROR(VLOOKUP($B63,Súpravy!$A$6:$Q$31,6,FALSE),0)</f>
        <v>0</v>
      </c>
      <c r="F63" s="31">
        <f t="shared" si="7"/>
        <v>0</v>
      </c>
      <c r="G63" s="10">
        <f>IFERROR(VLOOKUP($B63,Súpravy!$A$6:$Q$31,3,FALSE),0)</f>
        <v>0</v>
      </c>
      <c r="H63" s="17">
        <f t="shared" si="6"/>
        <v>0</v>
      </c>
      <c r="I63" s="12">
        <f>IFERROR(VLOOKUP($B63,Súpravy!$A$6:$Q$31,9,FALSE),0)</f>
        <v>0</v>
      </c>
      <c r="J63" s="12">
        <f>IFERROR(VLOOKUP($B63,Súpravy!$A$6:$Q$31,12,FALSE),0)</f>
        <v>0</v>
      </c>
      <c r="K63" s="12">
        <f>IFERROR(VLOOKUP($B63,Súpravy!$A$6:$Q$31,17,FALSE),0)</f>
        <v>0</v>
      </c>
      <c r="L63" s="12">
        <f>IFERROR(VLOOKUP($B63,Súpravy!$A$6:$Q$31,18,FALSE),0)</f>
        <v>0</v>
      </c>
      <c r="M63" s="17">
        <f t="shared" si="8"/>
        <v>0</v>
      </c>
      <c r="N63" s="93">
        <f>IF(OR(C63=53.328,M63&lt;=80%),0,D63*(Ocenenie!$E$56*(M63)*(M63)*(M63)+Ocenenie!$E$57*(M63)*(M63)+Ocenenie!$E$58*(M63)-Ocenenie!$E$60))</f>
        <v>0</v>
      </c>
      <c r="P63" s="40"/>
      <c r="R63" s="38"/>
      <c r="T63" s="40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</row>
    <row r="64" spans="1:32" ht="18" customHeight="1" x14ac:dyDescent="0.25">
      <c r="A64" s="13" t="s">
        <v>136</v>
      </c>
    </row>
    <row r="65" spans="1:14" x14ac:dyDescent="0.25">
      <c r="A65" s="1" t="str">
        <f>Grafikon!$B54</f>
        <v>Os 4300</v>
      </c>
      <c r="B65" s="199"/>
      <c r="C65" s="2">
        <f>Grafikon!$D54</f>
        <v>46.847000000000001</v>
      </c>
      <c r="D65" s="3">
        <f>Grafikon!$G54</f>
        <v>200</v>
      </c>
      <c r="E65" s="10">
        <f>IFERROR(VLOOKUP($B65,Súpravy!$A$6:$Q$31,6,FALSE),0)</f>
        <v>0</v>
      </c>
      <c r="F65" s="31">
        <f t="shared" ref="F65:F96" si="9">MIN(E65/D65,1)</f>
        <v>0</v>
      </c>
      <c r="G65" s="10">
        <f>IFERROR(VLOOKUP($B65,Súpravy!$A$6:$Q$31,3,FALSE),0)</f>
        <v>0</v>
      </c>
      <c r="H65" s="17">
        <f t="shared" si="6"/>
        <v>0</v>
      </c>
      <c r="I65" s="12">
        <f>IFERROR(VLOOKUP($B65,Súpravy!$A$6:$Q$31,9,FALSE),0)</f>
        <v>0</v>
      </c>
      <c r="J65" s="12">
        <f>IFERROR(VLOOKUP($B65,Súpravy!$A$6:$Q$31,12,FALSE),0)</f>
        <v>0</v>
      </c>
      <c r="K65" s="12">
        <f>IFERROR(VLOOKUP($B65,Súpravy!$A$6:$Q$31,17,FALSE),0)</f>
        <v>0</v>
      </c>
      <c r="L65" s="12">
        <f>IFERROR(VLOOKUP($B65,Súpravy!$A$6:$Q$31,18,FALSE),0)</f>
        <v>0</v>
      </c>
      <c r="M65" s="17">
        <f t="shared" ref="M65:M96" si="10">IFERROR(D65/G65,0)</f>
        <v>0</v>
      </c>
      <c r="N65" s="93">
        <f>IF(OR(C65=53.328,M65&lt;=80%),0,D65*(Ocenenie!$E$56*(M65)*(M65)*(M65)+Ocenenie!$E$57*(M65)*(M65)+Ocenenie!$E$58*(M65)-Ocenenie!$E$60))</f>
        <v>0</v>
      </c>
    </row>
    <row r="66" spans="1:14" x14ac:dyDescent="0.25">
      <c r="A66" s="1" t="str">
        <f>Grafikon!$B55</f>
        <v>Os 4340</v>
      </c>
      <c r="B66" s="199"/>
      <c r="C66" s="2">
        <f>Grafikon!$D55</f>
        <v>26.718</v>
      </c>
      <c r="D66" s="3">
        <f>Grafikon!$G55</f>
        <v>200</v>
      </c>
      <c r="E66" s="10">
        <f>IFERROR(VLOOKUP($B66,Súpravy!$A$6:$Q$31,6,FALSE),0)</f>
        <v>0</v>
      </c>
      <c r="F66" s="31">
        <f t="shared" si="9"/>
        <v>0</v>
      </c>
      <c r="G66" s="10">
        <f>IFERROR(VLOOKUP($B66,Súpravy!$A$6:$Q$31,3,FALSE),0)</f>
        <v>0</v>
      </c>
      <c r="H66" s="17">
        <f>IFERROR(MIN(G66/D66,1),0)</f>
        <v>0</v>
      </c>
      <c r="I66" s="12">
        <f>IFERROR(VLOOKUP($B66,Súpravy!$A$6:$Q$31,9,FALSE),0)</f>
        <v>0</v>
      </c>
      <c r="J66" s="12">
        <f>IFERROR(VLOOKUP($B66,Súpravy!$A$6:$Q$31,12,FALSE),0)</f>
        <v>0</v>
      </c>
      <c r="K66" s="12">
        <f>IFERROR(VLOOKUP($B66,Súpravy!$A$6:$Q$31,17,FALSE),0)</f>
        <v>0</v>
      </c>
      <c r="L66" s="12">
        <f>IFERROR(VLOOKUP($B66,Súpravy!$A$6:$Q$31,18,FALSE),0)</f>
        <v>0</v>
      </c>
      <c r="M66" s="17">
        <f t="shared" si="10"/>
        <v>0</v>
      </c>
      <c r="N66" s="93">
        <f>IF(OR(C66=53.328,M66&lt;=80%),0,D66*(Ocenenie!$E$56*(M66)*(M66)*(M66)+Ocenenie!$E$57*(M66)*(M66)+Ocenenie!$E$58*(M66)-Ocenenie!$E$60))</f>
        <v>0</v>
      </c>
    </row>
    <row r="67" spans="1:14" x14ac:dyDescent="0.25">
      <c r="A67" s="1" t="str">
        <f>Grafikon!$B56</f>
        <v>Zr 1760</v>
      </c>
      <c r="B67" s="199"/>
      <c r="C67" s="2">
        <f>Grafikon!$D56</f>
        <v>100.175</v>
      </c>
      <c r="D67" s="3">
        <f>Grafikon!$G56</f>
        <v>200</v>
      </c>
      <c r="E67" s="10">
        <f>IFERROR(VLOOKUP($B67,Súpravy!$A$6:$Q$31,6,FALSE),0)</f>
        <v>0</v>
      </c>
      <c r="F67" s="31">
        <f t="shared" si="9"/>
        <v>0</v>
      </c>
      <c r="G67" s="10">
        <f>IFERROR(VLOOKUP($B67,Súpravy!$A$6:$Q$31,3,FALSE),0)</f>
        <v>0</v>
      </c>
      <c r="H67" s="17">
        <f t="shared" si="6"/>
        <v>0</v>
      </c>
      <c r="I67" s="12">
        <f>IFERROR(VLOOKUP($B67,Súpravy!$A$6:$Q$31,9,FALSE),0)</f>
        <v>0</v>
      </c>
      <c r="J67" s="12">
        <f>IFERROR(VLOOKUP($B67,Súpravy!$A$6:$Q$31,12,FALSE),0)</f>
        <v>0</v>
      </c>
      <c r="K67" s="12">
        <f>IFERROR(VLOOKUP($B67,Súpravy!$A$6:$Q$31,17,FALSE),0)</f>
        <v>0</v>
      </c>
      <c r="L67" s="12">
        <f>IFERROR(VLOOKUP($B67,Súpravy!$A$6:$Q$31,18,FALSE),0)</f>
        <v>0</v>
      </c>
      <c r="M67" s="17">
        <f t="shared" si="10"/>
        <v>0</v>
      </c>
      <c r="N67" s="93">
        <f>IF(OR(C67=53.328,M67&lt;=80%),0,D67*(Ocenenie!$E$56*(M67)*(M67)*(M67)+Ocenenie!$E$57*(M67)*(M67)+Ocenenie!$E$58*(M67)-Ocenenie!$E$60))</f>
        <v>0</v>
      </c>
    </row>
    <row r="68" spans="1:14" x14ac:dyDescent="0.25">
      <c r="A68" s="1" t="str">
        <f>Grafikon!$B57</f>
        <v>Os 4342</v>
      </c>
      <c r="B68" s="199"/>
      <c r="C68" s="2">
        <f>Grafikon!$D57</f>
        <v>26.718</v>
      </c>
      <c r="D68" s="3">
        <f>Grafikon!$G57</f>
        <v>300</v>
      </c>
      <c r="E68" s="10">
        <f>IFERROR(VLOOKUP($B68,Súpravy!$A$6:$Q$31,6,FALSE),0)</f>
        <v>0</v>
      </c>
      <c r="F68" s="31">
        <f t="shared" si="9"/>
        <v>0</v>
      </c>
      <c r="G68" s="10">
        <f>IFERROR(VLOOKUP($B68,Súpravy!$A$6:$Q$31,3,FALSE),0)</f>
        <v>0</v>
      </c>
      <c r="H68" s="17">
        <f t="shared" si="6"/>
        <v>0</v>
      </c>
      <c r="I68" s="12">
        <f>IFERROR(VLOOKUP($B68,Súpravy!$A$6:$Q$31,9,FALSE),0)</f>
        <v>0</v>
      </c>
      <c r="J68" s="12">
        <f>IFERROR(VLOOKUP($B68,Súpravy!$A$6:$Q$31,12,FALSE),0)</f>
        <v>0</v>
      </c>
      <c r="K68" s="12">
        <f>IFERROR(VLOOKUP($B68,Súpravy!$A$6:$Q$31,17,FALSE),0)</f>
        <v>0</v>
      </c>
      <c r="L68" s="12">
        <f>IFERROR(VLOOKUP($B68,Súpravy!$A$6:$Q$31,18,FALSE),0)</f>
        <v>0</v>
      </c>
      <c r="M68" s="17">
        <f t="shared" si="10"/>
        <v>0</v>
      </c>
      <c r="N68" s="93">
        <f>IF(OR(C68=53.328,M68&lt;=80%),0,D68*(Ocenenie!$E$56*(M68)*(M68)*(M68)+Ocenenie!$E$57*(M68)*(M68)+Ocenenie!$E$58*(M68)-Ocenenie!$E$60))</f>
        <v>0</v>
      </c>
    </row>
    <row r="69" spans="1:14" x14ac:dyDescent="0.25">
      <c r="A69" s="1" t="str">
        <f>Grafikon!$B58</f>
        <v>Os 4302</v>
      </c>
      <c r="B69" s="199"/>
      <c r="C69" s="2">
        <f>Grafikon!$D58</f>
        <v>46.847000000000001</v>
      </c>
      <c r="D69" s="3">
        <f>Grafikon!$G58</f>
        <v>500</v>
      </c>
      <c r="E69" s="10">
        <f>IFERROR(VLOOKUP($B69,Súpravy!$A$6:$Q$31,6,FALSE),0)</f>
        <v>0</v>
      </c>
      <c r="F69" s="31">
        <f t="shared" si="9"/>
        <v>0</v>
      </c>
      <c r="G69" s="10">
        <f>IFERROR(VLOOKUP($B69,Súpravy!$A$6:$Q$31,3,FALSE),0)</f>
        <v>0</v>
      </c>
      <c r="H69" s="17">
        <f t="shared" si="6"/>
        <v>0</v>
      </c>
      <c r="I69" s="12">
        <f>IFERROR(VLOOKUP($B69,Súpravy!$A$6:$Q$31,9,FALSE),0)</f>
        <v>0</v>
      </c>
      <c r="J69" s="12">
        <f>IFERROR(VLOOKUP($B69,Súpravy!$A$6:$Q$31,12,FALSE),0)</f>
        <v>0</v>
      </c>
      <c r="K69" s="12">
        <f>IFERROR(VLOOKUP($B69,Súpravy!$A$6:$Q$31,17,FALSE),0)</f>
        <v>0</v>
      </c>
      <c r="L69" s="12">
        <f>IFERROR(VLOOKUP($B69,Súpravy!$A$6:$Q$31,18,FALSE),0)</f>
        <v>0</v>
      </c>
      <c r="M69" s="17">
        <f t="shared" si="10"/>
        <v>0</v>
      </c>
      <c r="N69" s="93">
        <f>IF(OR(C69=53.328,M69&lt;=80%),0,D69*(Ocenenie!$E$56*(M69)*(M69)*(M69)+Ocenenie!$E$57*(M69)*(M69)+Ocenenie!$E$58*(M69)-Ocenenie!$E$60))</f>
        <v>0</v>
      </c>
    </row>
    <row r="70" spans="1:14" x14ac:dyDescent="0.25">
      <c r="A70" s="1" t="str">
        <f>Grafikon!$B59</f>
        <v>Os 4372</v>
      </c>
      <c r="B70" s="199"/>
      <c r="C70" s="2">
        <f>Grafikon!$D59</f>
        <v>53.328000000000003</v>
      </c>
      <c r="D70" s="3">
        <f>Grafikon!$G59</f>
        <v>200</v>
      </c>
      <c r="E70" s="10">
        <f>IFERROR(VLOOKUP($B70,Súpravy!$A$6:$Q$31,6,FALSE),0)</f>
        <v>0</v>
      </c>
      <c r="F70" s="31">
        <f t="shared" si="9"/>
        <v>0</v>
      </c>
      <c r="G70" s="10">
        <f>IFERROR(VLOOKUP($B70,Súpravy!$A$6:$Q$31,3,FALSE),0)</f>
        <v>0</v>
      </c>
      <c r="H70" s="17">
        <f t="shared" si="6"/>
        <v>0</v>
      </c>
      <c r="I70" s="12">
        <f>IFERROR(VLOOKUP($B70,Súpravy!$A$6:$Q$31,9,FALSE),0)</f>
        <v>0</v>
      </c>
      <c r="J70" s="12">
        <f>IFERROR(VLOOKUP($B70,Súpravy!$A$6:$Q$31,12,FALSE),0)</f>
        <v>0</v>
      </c>
      <c r="K70" s="12">
        <f>IFERROR(VLOOKUP($B70,Súpravy!$A$6:$Q$31,17,FALSE),0)</f>
        <v>0</v>
      </c>
      <c r="L70" s="12">
        <f>IFERROR(VLOOKUP($B70,Súpravy!$A$6:$Q$31,18,FALSE),0)</f>
        <v>0</v>
      </c>
      <c r="M70" s="17">
        <f t="shared" si="10"/>
        <v>0</v>
      </c>
      <c r="N70" s="93">
        <f>IF(OR(C70=53.328,M70&lt;=80%),0,D70*(Ocenenie!$E$56*(M70)*(M70)*(M70)+Ocenenie!$E$57*(M70)*(M70)+Ocenenie!$E$58*(M70)-Ocenenie!$E$60))</f>
        <v>0</v>
      </c>
    </row>
    <row r="71" spans="1:14" x14ac:dyDescent="0.25">
      <c r="A71" s="1" t="str">
        <f>Grafikon!$B60</f>
        <v>Zr 1762</v>
      </c>
      <c r="B71" s="199"/>
      <c r="C71" s="2">
        <f>Grafikon!$D60</f>
        <v>46.847000000000001</v>
      </c>
      <c r="D71" s="3">
        <f>Grafikon!$G60</f>
        <v>200</v>
      </c>
      <c r="E71" s="10">
        <f>IFERROR(VLOOKUP($B71,Súpravy!$A$6:$Q$31,6,FALSE),0)</f>
        <v>0</v>
      </c>
      <c r="F71" s="31">
        <f t="shared" si="9"/>
        <v>0</v>
      </c>
      <c r="G71" s="10">
        <f>IFERROR(VLOOKUP($B71,Súpravy!$A$6:$Q$31,3,FALSE),0)</f>
        <v>0</v>
      </c>
      <c r="H71" s="17">
        <f t="shared" si="6"/>
        <v>0</v>
      </c>
      <c r="I71" s="12">
        <f>IFERROR(VLOOKUP($B71,Súpravy!$A$6:$Q$31,9,FALSE),0)</f>
        <v>0</v>
      </c>
      <c r="J71" s="12">
        <f>IFERROR(VLOOKUP($B71,Súpravy!$A$6:$Q$31,12,FALSE),0)</f>
        <v>0</v>
      </c>
      <c r="K71" s="12">
        <f>IFERROR(VLOOKUP($B71,Súpravy!$A$6:$Q$31,17,FALSE),0)</f>
        <v>0</v>
      </c>
      <c r="L71" s="12">
        <f>IFERROR(VLOOKUP($B71,Súpravy!$A$6:$Q$31,18,FALSE),0)</f>
        <v>0</v>
      </c>
      <c r="M71" s="17">
        <f t="shared" si="10"/>
        <v>0</v>
      </c>
      <c r="N71" s="93">
        <f>IF(OR(C71=53.328,M71&lt;=80%),0,D71*(Ocenenie!$E$56*(M71)*(M71)*(M71)+Ocenenie!$E$57*(M71)*(M71)+Ocenenie!$E$58*(M71)-Ocenenie!$E$60))</f>
        <v>0</v>
      </c>
    </row>
    <row r="72" spans="1:14" x14ac:dyDescent="0.25">
      <c r="A72" s="1" t="str">
        <f>Grafikon!$B61</f>
        <v>Os 4344</v>
      </c>
      <c r="B72" s="199"/>
      <c r="C72" s="2">
        <f>Grafikon!$D61</f>
        <v>26.718</v>
      </c>
      <c r="D72" s="3">
        <f>Grafikon!$G61</f>
        <v>300</v>
      </c>
      <c r="E72" s="10">
        <f>IFERROR(VLOOKUP($B72,Súpravy!$A$6:$Q$31,6,FALSE),0)</f>
        <v>0</v>
      </c>
      <c r="F72" s="31">
        <f t="shared" si="9"/>
        <v>0</v>
      </c>
      <c r="G72" s="10">
        <f>IFERROR(VLOOKUP($B72,Súpravy!$A$6:$Q$31,3,FALSE),0)</f>
        <v>0</v>
      </c>
      <c r="H72" s="17">
        <f t="shared" si="6"/>
        <v>0</v>
      </c>
      <c r="I72" s="12">
        <f>IFERROR(VLOOKUP($B72,Súpravy!$A$6:$Q$31,9,FALSE),0)</f>
        <v>0</v>
      </c>
      <c r="J72" s="12">
        <f>IFERROR(VLOOKUP($B72,Súpravy!$A$6:$Q$31,12,FALSE),0)</f>
        <v>0</v>
      </c>
      <c r="K72" s="12">
        <f>IFERROR(VLOOKUP($B72,Súpravy!$A$6:$Q$31,17,FALSE),0)</f>
        <v>0</v>
      </c>
      <c r="L72" s="12">
        <f>IFERROR(VLOOKUP($B72,Súpravy!$A$6:$Q$31,18,FALSE),0)</f>
        <v>0</v>
      </c>
      <c r="M72" s="17">
        <f t="shared" si="10"/>
        <v>0</v>
      </c>
      <c r="N72" s="93">
        <f>IF(OR(C72=53.328,M72&lt;=80%),0,D72*(Ocenenie!$E$56*(M72)*(M72)*(M72)+Ocenenie!$E$57*(M72)*(M72)+Ocenenie!$E$58*(M72)-Ocenenie!$E$60))</f>
        <v>0</v>
      </c>
    </row>
    <row r="73" spans="1:14" x14ac:dyDescent="0.25">
      <c r="A73" s="1" t="str">
        <f>Grafikon!$B62</f>
        <v>Os 4304</v>
      </c>
      <c r="B73" s="199"/>
      <c r="C73" s="2">
        <f>Grafikon!$D62</f>
        <v>46.847000000000001</v>
      </c>
      <c r="D73" s="3">
        <f>Grafikon!$G62</f>
        <v>600</v>
      </c>
      <c r="E73" s="10">
        <f>IFERROR(VLOOKUP($B73,Súpravy!$A$6:$Q$31,6,FALSE),0)</f>
        <v>0</v>
      </c>
      <c r="F73" s="31">
        <f t="shared" si="9"/>
        <v>0</v>
      </c>
      <c r="G73" s="10">
        <f>IFERROR(VLOOKUP($B73,Súpravy!$A$6:$Q$31,3,FALSE),0)</f>
        <v>0</v>
      </c>
      <c r="H73" s="17">
        <f t="shared" si="6"/>
        <v>0</v>
      </c>
      <c r="I73" s="12">
        <f>IFERROR(VLOOKUP($B73,Súpravy!$A$6:$Q$31,9,FALSE),0)</f>
        <v>0</v>
      </c>
      <c r="J73" s="12">
        <f>IFERROR(VLOOKUP($B73,Súpravy!$A$6:$Q$31,12,FALSE),0)</f>
        <v>0</v>
      </c>
      <c r="K73" s="12">
        <f>IFERROR(VLOOKUP($B73,Súpravy!$A$6:$Q$31,17,FALSE),0)</f>
        <v>0</v>
      </c>
      <c r="L73" s="12">
        <f>IFERROR(VLOOKUP($B73,Súpravy!$A$6:$Q$31,18,FALSE),0)</f>
        <v>0</v>
      </c>
      <c r="M73" s="17">
        <f t="shared" si="10"/>
        <v>0</v>
      </c>
      <c r="N73" s="93">
        <f>IF(OR(C73=53.328,M73&lt;=80%),0,D73*(Ocenenie!$E$56*(M73)*(M73)*(M73)+Ocenenie!$E$57*(M73)*(M73)+Ocenenie!$E$58*(M73)-Ocenenie!$E$60))</f>
        <v>0</v>
      </c>
    </row>
    <row r="74" spans="1:14" x14ac:dyDescent="0.25">
      <c r="A74" s="1" t="str">
        <f>Grafikon!$B63</f>
        <v>Zr 1764</v>
      </c>
      <c r="B74" s="199"/>
      <c r="C74" s="2">
        <f>Grafikon!$D63</f>
        <v>100.175</v>
      </c>
      <c r="D74" s="3">
        <f>Grafikon!$G63</f>
        <v>300</v>
      </c>
      <c r="E74" s="10">
        <f>IFERROR(VLOOKUP($B74,Súpravy!$A$6:$Q$31,6,FALSE),0)</f>
        <v>0</v>
      </c>
      <c r="F74" s="31">
        <f t="shared" si="9"/>
        <v>0</v>
      </c>
      <c r="G74" s="10">
        <f>IFERROR(VLOOKUP($B74,Súpravy!$A$6:$Q$31,3,FALSE),0)</f>
        <v>0</v>
      </c>
      <c r="H74" s="17">
        <f t="shared" si="6"/>
        <v>0</v>
      </c>
      <c r="I74" s="12">
        <f>IFERROR(VLOOKUP($B74,Súpravy!$A$6:$Q$31,9,FALSE),0)</f>
        <v>0</v>
      </c>
      <c r="J74" s="12">
        <f>IFERROR(VLOOKUP($B74,Súpravy!$A$6:$Q$31,12,FALSE),0)</f>
        <v>0</v>
      </c>
      <c r="K74" s="12">
        <f>IFERROR(VLOOKUP($B74,Súpravy!$A$6:$Q$31,17,FALSE),0)</f>
        <v>0</v>
      </c>
      <c r="L74" s="12">
        <f>IFERROR(VLOOKUP($B74,Súpravy!$A$6:$Q$31,18,FALSE),0)</f>
        <v>0</v>
      </c>
      <c r="M74" s="17">
        <f t="shared" si="10"/>
        <v>0</v>
      </c>
      <c r="N74" s="93">
        <f>IF(OR(C74=53.328,M74&lt;=80%),0,D74*(Ocenenie!$E$56*(M74)*(M74)*(M74)+Ocenenie!$E$57*(M74)*(M74)+Ocenenie!$E$58*(M74)-Ocenenie!$E$60))</f>
        <v>0</v>
      </c>
    </row>
    <row r="75" spans="1:14" x14ac:dyDescent="0.25">
      <c r="A75" s="1" t="str">
        <f>Grafikon!$B64</f>
        <v>Os 4346</v>
      </c>
      <c r="B75" s="199"/>
      <c r="C75" s="2">
        <f>Grafikon!$D64</f>
        <v>26.718</v>
      </c>
      <c r="D75" s="3">
        <f>Grafikon!$G64</f>
        <v>500</v>
      </c>
      <c r="E75" s="10">
        <f>IFERROR(VLOOKUP($B75,Súpravy!$A$6:$Q$31,6,FALSE),0)</f>
        <v>0</v>
      </c>
      <c r="F75" s="31">
        <f t="shared" si="9"/>
        <v>0</v>
      </c>
      <c r="G75" s="10">
        <f>IFERROR(VLOOKUP($B75,Súpravy!$A$6:$Q$31,3,FALSE),0)</f>
        <v>0</v>
      </c>
      <c r="H75" s="17">
        <f t="shared" si="6"/>
        <v>0</v>
      </c>
      <c r="I75" s="12">
        <f>IFERROR(VLOOKUP($B75,Súpravy!$A$6:$Q$31,9,FALSE),0)</f>
        <v>0</v>
      </c>
      <c r="J75" s="12">
        <f>IFERROR(VLOOKUP($B75,Súpravy!$A$6:$Q$31,12,FALSE),0)</f>
        <v>0</v>
      </c>
      <c r="K75" s="12">
        <f>IFERROR(VLOOKUP($B75,Súpravy!$A$6:$Q$31,17,FALSE),0)</f>
        <v>0</v>
      </c>
      <c r="L75" s="12">
        <f>IFERROR(VLOOKUP($B75,Súpravy!$A$6:$Q$31,18,FALSE),0)</f>
        <v>0</v>
      </c>
      <c r="M75" s="17">
        <f t="shared" si="10"/>
        <v>0</v>
      </c>
      <c r="N75" s="93">
        <f>IF(OR(C75=53.328,M75&lt;=80%),0,D75*(Ocenenie!$E$56*(M75)*(M75)*(M75)+Ocenenie!$E$57*(M75)*(M75)+Ocenenie!$E$58*(M75)-Ocenenie!$E$60))</f>
        <v>0</v>
      </c>
    </row>
    <row r="76" spans="1:14" x14ac:dyDescent="0.25">
      <c r="A76" s="1" t="str">
        <f>Grafikon!$B65</f>
        <v>Os 4306</v>
      </c>
      <c r="B76" s="199"/>
      <c r="C76" s="2">
        <f>Grafikon!$D65</f>
        <v>46.847000000000001</v>
      </c>
      <c r="D76" s="3">
        <f>Grafikon!$G65</f>
        <v>400</v>
      </c>
      <c r="E76" s="10">
        <f>IFERROR(VLOOKUP($B76,Súpravy!$A$6:$Q$31,6,FALSE),0)</f>
        <v>0</v>
      </c>
      <c r="F76" s="31">
        <f t="shared" si="9"/>
        <v>0</v>
      </c>
      <c r="G76" s="10">
        <f>IFERROR(VLOOKUP($B76,Súpravy!$A$6:$Q$31,3,FALSE),0)</f>
        <v>0</v>
      </c>
      <c r="H76" s="17">
        <f t="shared" si="6"/>
        <v>0</v>
      </c>
      <c r="I76" s="12">
        <f>IFERROR(VLOOKUP($B76,Súpravy!$A$6:$Q$31,9,FALSE),0)</f>
        <v>0</v>
      </c>
      <c r="J76" s="12">
        <f>IFERROR(VLOOKUP($B76,Súpravy!$A$6:$Q$31,12,FALSE),0)</f>
        <v>0</v>
      </c>
      <c r="K76" s="12">
        <f>IFERROR(VLOOKUP($B76,Súpravy!$A$6:$Q$31,17,FALSE),0)</f>
        <v>0</v>
      </c>
      <c r="L76" s="12">
        <f>IFERROR(VLOOKUP($B76,Súpravy!$A$6:$Q$31,18,FALSE),0)</f>
        <v>0</v>
      </c>
      <c r="M76" s="17">
        <f t="shared" si="10"/>
        <v>0</v>
      </c>
      <c r="N76" s="93">
        <f>IF(OR(C76=53.328,M76&lt;=80%),0,D76*(Ocenenie!$E$56*(M76)*(M76)*(M76)+Ocenenie!$E$57*(M76)*(M76)+Ocenenie!$E$58*(M76)-Ocenenie!$E$60))</f>
        <v>0</v>
      </c>
    </row>
    <row r="77" spans="1:14" x14ac:dyDescent="0.25">
      <c r="A77" s="1" t="str">
        <f>Grafikon!$B66</f>
        <v>Os 4374</v>
      </c>
      <c r="B77" s="199"/>
      <c r="C77" s="2">
        <f>Grafikon!$D66</f>
        <v>53.328000000000003</v>
      </c>
      <c r="D77" s="3">
        <f>Grafikon!$G66</f>
        <v>200</v>
      </c>
      <c r="E77" s="10">
        <f>IFERROR(VLOOKUP($B77,Súpravy!$A$6:$Q$31,6,FALSE),0)</f>
        <v>0</v>
      </c>
      <c r="F77" s="31">
        <f t="shared" si="9"/>
        <v>0</v>
      </c>
      <c r="G77" s="10">
        <f>IFERROR(VLOOKUP($B77,Súpravy!$A$6:$Q$31,3,FALSE),0)</f>
        <v>0</v>
      </c>
      <c r="H77" s="17">
        <f t="shared" si="6"/>
        <v>0</v>
      </c>
      <c r="I77" s="12">
        <f>IFERROR(VLOOKUP($B77,Súpravy!$A$6:$Q$31,9,FALSE),0)</f>
        <v>0</v>
      </c>
      <c r="J77" s="12">
        <f>IFERROR(VLOOKUP($B77,Súpravy!$A$6:$Q$31,12,FALSE),0)</f>
        <v>0</v>
      </c>
      <c r="K77" s="12">
        <f>IFERROR(VLOOKUP($B77,Súpravy!$A$6:$Q$31,17,FALSE),0)</f>
        <v>0</v>
      </c>
      <c r="L77" s="12">
        <f>IFERROR(VLOOKUP($B77,Súpravy!$A$6:$Q$31,18,FALSE),0)</f>
        <v>0</v>
      </c>
      <c r="M77" s="17">
        <f t="shared" si="10"/>
        <v>0</v>
      </c>
      <c r="N77" s="93">
        <f>IF(OR(C77=53.328,M77&lt;=80%),0,D77*(Ocenenie!$E$56*(M77)*(M77)*(M77)+Ocenenie!$E$57*(M77)*(M77)+Ocenenie!$E$58*(M77)-Ocenenie!$E$60))</f>
        <v>0</v>
      </c>
    </row>
    <row r="78" spans="1:14" x14ac:dyDescent="0.25">
      <c r="A78" s="1" t="str">
        <f>Grafikon!$B67</f>
        <v>Zr 1766</v>
      </c>
      <c r="B78" s="199"/>
      <c r="C78" s="2">
        <f>Grafikon!$D67</f>
        <v>46.847000000000001</v>
      </c>
      <c r="D78" s="3">
        <f>Grafikon!$G67</f>
        <v>200</v>
      </c>
      <c r="E78" s="10">
        <f>IFERROR(VLOOKUP($B78,Súpravy!$A$6:$Q$31,6,FALSE),0)</f>
        <v>0</v>
      </c>
      <c r="F78" s="31">
        <f t="shared" si="9"/>
        <v>0</v>
      </c>
      <c r="G78" s="10">
        <f>IFERROR(VLOOKUP($B78,Súpravy!$A$6:$Q$31,3,FALSE),0)</f>
        <v>0</v>
      </c>
      <c r="H78" s="17">
        <f t="shared" si="6"/>
        <v>0</v>
      </c>
      <c r="I78" s="12">
        <f>IFERROR(VLOOKUP($B78,Súpravy!$A$6:$Q$31,9,FALSE),0)</f>
        <v>0</v>
      </c>
      <c r="J78" s="12">
        <f>IFERROR(VLOOKUP($B78,Súpravy!$A$6:$Q$31,12,FALSE),0)</f>
        <v>0</v>
      </c>
      <c r="K78" s="12">
        <f>IFERROR(VLOOKUP($B78,Súpravy!$A$6:$Q$31,17,FALSE),0)</f>
        <v>0</v>
      </c>
      <c r="L78" s="12">
        <f>IFERROR(VLOOKUP($B78,Súpravy!$A$6:$Q$31,18,FALSE),0)</f>
        <v>0</v>
      </c>
      <c r="M78" s="17">
        <f t="shared" si="10"/>
        <v>0</v>
      </c>
      <c r="N78" s="93">
        <f>IF(OR(C78=53.328,M78&lt;=80%),0,D78*(Ocenenie!$E$56*(M78)*(M78)*(M78)+Ocenenie!$E$57*(M78)*(M78)+Ocenenie!$E$58*(M78)-Ocenenie!$E$60))</f>
        <v>0</v>
      </c>
    </row>
    <row r="79" spans="1:14" x14ac:dyDescent="0.25">
      <c r="A79" s="1" t="str">
        <f>Grafikon!$B68</f>
        <v>Os 4348</v>
      </c>
      <c r="B79" s="199"/>
      <c r="C79" s="2">
        <f>Grafikon!$D68</f>
        <v>26.718</v>
      </c>
      <c r="D79" s="3">
        <f>Grafikon!$G68</f>
        <v>200</v>
      </c>
      <c r="E79" s="10">
        <f>IFERROR(VLOOKUP($B79,Súpravy!$A$6:$Q$31,6,FALSE),0)</f>
        <v>0</v>
      </c>
      <c r="F79" s="31">
        <f t="shared" si="9"/>
        <v>0</v>
      </c>
      <c r="G79" s="10">
        <f>IFERROR(VLOOKUP($B79,Súpravy!$A$6:$Q$31,3,FALSE),0)</f>
        <v>0</v>
      </c>
      <c r="H79" s="17">
        <f t="shared" si="6"/>
        <v>0</v>
      </c>
      <c r="I79" s="12">
        <f>IFERROR(VLOOKUP($B79,Súpravy!$A$6:$Q$31,9,FALSE),0)</f>
        <v>0</v>
      </c>
      <c r="J79" s="12">
        <f>IFERROR(VLOOKUP($B79,Súpravy!$A$6:$Q$31,12,FALSE),0)</f>
        <v>0</v>
      </c>
      <c r="K79" s="12">
        <f>IFERROR(VLOOKUP($B79,Súpravy!$A$6:$Q$31,17,FALSE),0)</f>
        <v>0</v>
      </c>
      <c r="L79" s="12">
        <f>IFERROR(VLOOKUP($B79,Súpravy!$A$6:$Q$31,18,FALSE),0)</f>
        <v>0</v>
      </c>
      <c r="M79" s="17">
        <f t="shared" si="10"/>
        <v>0</v>
      </c>
      <c r="N79" s="93">
        <f>IF(OR(C79=53.328,M79&lt;=80%),0,D79*(Ocenenie!$E$56*(M79)*(M79)*(M79)+Ocenenie!$E$57*(M79)*(M79)+Ocenenie!$E$58*(M79)-Ocenenie!$E$60))</f>
        <v>0</v>
      </c>
    </row>
    <row r="80" spans="1:14" x14ac:dyDescent="0.25">
      <c r="A80" s="1" t="str">
        <f>Grafikon!$B69</f>
        <v>Os 4308</v>
      </c>
      <c r="B80" s="199"/>
      <c r="C80" s="2">
        <f>Grafikon!$D69</f>
        <v>46.847000000000001</v>
      </c>
      <c r="D80" s="3">
        <f>Grafikon!$G69</f>
        <v>200</v>
      </c>
      <c r="E80" s="10">
        <f>IFERROR(VLOOKUP($B80,Súpravy!$A$6:$Q$31,6,FALSE),0)</f>
        <v>0</v>
      </c>
      <c r="F80" s="31">
        <f t="shared" si="9"/>
        <v>0</v>
      </c>
      <c r="G80" s="10">
        <f>IFERROR(VLOOKUP($B80,Súpravy!$A$6:$Q$31,3,FALSE),0)</f>
        <v>0</v>
      </c>
      <c r="H80" s="17">
        <f t="shared" ref="H80:H113" si="11">IFERROR(MIN(G80/D80,1),0)</f>
        <v>0</v>
      </c>
      <c r="I80" s="12">
        <f>IFERROR(VLOOKUP($B80,Súpravy!$A$6:$Q$31,9,FALSE),0)</f>
        <v>0</v>
      </c>
      <c r="J80" s="12">
        <f>IFERROR(VLOOKUP($B80,Súpravy!$A$6:$Q$31,12,FALSE),0)</f>
        <v>0</v>
      </c>
      <c r="K80" s="12">
        <f>IFERROR(VLOOKUP($B80,Súpravy!$A$6:$Q$31,17,FALSE),0)</f>
        <v>0</v>
      </c>
      <c r="L80" s="12">
        <f>IFERROR(VLOOKUP($B80,Súpravy!$A$6:$Q$31,18,FALSE),0)</f>
        <v>0</v>
      </c>
      <c r="M80" s="17">
        <f t="shared" si="10"/>
        <v>0</v>
      </c>
      <c r="N80" s="93">
        <f>IF(OR(C80=53.328,M80&lt;=80%),0,D80*(Ocenenie!$E$56*(M80)*(M80)*(M80)+Ocenenie!$E$57*(M80)*(M80)+Ocenenie!$E$58*(M80)-Ocenenie!$E$60))</f>
        <v>0</v>
      </c>
    </row>
    <row r="81" spans="1:14" x14ac:dyDescent="0.25">
      <c r="A81" s="1" t="str">
        <f>Grafikon!$B70</f>
        <v>Zr 1768</v>
      </c>
      <c r="B81" s="199"/>
      <c r="C81" s="2">
        <f>Grafikon!$D70</f>
        <v>100.175</v>
      </c>
      <c r="D81" s="3">
        <f>Grafikon!$G70</f>
        <v>100</v>
      </c>
      <c r="E81" s="10">
        <f>IFERROR(VLOOKUP($B81,Súpravy!$A$6:$Q$31,6,FALSE),0)</f>
        <v>0</v>
      </c>
      <c r="F81" s="31">
        <f t="shared" si="9"/>
        <v>0</v>
      </c>
      <c r="G81" s="10">
        <f>IFERROR(VLOOKUP($B81,Súpravy!$A$6:$Q$31,3,FALSE),0)</f>
        <v>0</v>
      </c>
      <c r="H81" s="17">
        <f t="shared" si="11"/>
        <v>0</v>
      </c>
      <c r="I81" s="12">
        <f>IFERROR(VLOOKUP($B81,Súpravy!$A$6:$Q$31,9,FALSE),0)</f>
        <v>0</v>
      </c>
      <c r="J81" s="12">
        <f>IFERROR(VLOOKUP($B81,Súpravy!$A$6:$Q$31,12,FALSE),0)</f>
        <v>0</v>
      </c>
      <c r="K81" s="12">
        <f>IFERROR(VLOOKUP($B81,Súpravy!$A$6:$Q$31,17,FALSE),0)</f>
        <v>0</v>
      </c>
      <c r="L81" s="12">
        <f>IFERROR(VLOOKUP($B81,Súpravy!$A$6:$Q$31,18,FALSE),0)</f>
        <v>0</v>
      </c>
      <c r="M81" s="17">
        <f t="shared" si="10"/>
        <v>0</v>
      </c>
      <c r="N81" s="93">
        <f>IF(OR(C81=53.328,M81&lt;=80%),0,D81*(Ocenenie!$E$56*(M81)*(M81)*(M81)+Ocenenie!$E$57*(M81)*(M81)+Ocenenie!$E$58*(M81)-Ocenenie!$E$60))</f>
        <v>0</v>
      </c>
    </row>
    <row r="82" spans="1:14" x14ac:dyDescent="0.25">
      <c r="A82" s="1" t="str">
        <f>Grafikon!$B71</f>
        <v>Os 4350</v>
      </c>
      <c r="B82" s="199"/>
      <c r="C82" s="2">
        <f>Grafikon!$D71</f>
        <v>26.718</v>
      </c>
      <c r="D82" s="3">
        <f>Grafikon!$G71</f>
        <v>100</v>
      </c>
      <c r="E82" s="10">
        <f>IFERROR(VLOOKUP($B82,Súpravy!$A$6:$Q$31,6,FALSE),0)</f>
        <v>0</v>
      </c>
      <c r="F82" s="31">
        <f t="shared" si="9"/>
        <v>0</v>
      </c>
      <c r="G82" s="10">
        <f>IFERROR(VLOOKUP($B82,Súpravy!$A$6:$Q$31,3,FALSE),0)</f>
        <v>0</v>
      </c>
      <c r="H82" s="17">
        <f t="shared" si="11"/>
        <v>0</v>
      </c>
      <c r="I82" s="12">
        <f>IFERROR(VLOOKUP($B82,Súpravy!$A$6:$Q$31,9,FALSE),0)</f>
        <v>0</v>
      </c>
      <c r="J82" s="12">
        <f>IFERROR(VLOOKUP($B82,Súpravy!$A$6:$Q$31,12,FALSE),0)</f>
        <v>0</v>
      </c>
      <c r="K82" s="12">
        <f>IFERROR(VLOOKUP($B82,Súpravy!$A$6:$Q$31,17,FALSE),0)</f>
        <v>0</v>
      </c>
      <c r="L82" s="12">
        <f>IFERROR(VLOOKUP($B82,Súpravy!$A$6:$Q$31,18,FALSE),0)</f>
        <v>0</v>
      </c>
      <c r="M82" s="17">
        <f t="shared" si="10"/>
        <v>0</v>
      </c>
      <c r="N82" s="93">
        <f>IF(OR(C82=53.328,M82&lt;=80%),0,D82*(Ocenenie!$E$56*(M82)*(M82)*(M82)+Ocenenie!$E$57*(M82)*(M82)+Ocenenie!$E$58*(M82)-Ocenenie!$E$60))</f>
        <v>0</v>
      </c>
    </row>
    <row r="83" spans="1:14" x14ac:dyDescent="0.25">
      <c r="A83" s="1" t="str">
        <f>Grafikon!$B72</f>
        <v>Os 4310</v>
      </c>
      <c r="B83" s="199"/>
      <c r="C83" s="2">
        <f>Grafikon!$D72</f>
        <v>46.847000000000001</v>
      </c>
      <c r="D83" s="3">
        <f>Grafikon!$G72</f>
        <v>200</v>
      </c>
      <c r="E83" s="10">
        <f>IFERROR(VLOOKUP($B83,Súpravy!$A$6:$Q$31,6,FALSE),0)</f>
        <v>0</v>
      </c>
      <c r="F83" s="31">
        <f t="shared" si="9"/>
        <v>0</v>
      </c>
      <c r="G83" s="10">
        <f>IFERROR(VLOOKUP($B83,Súpravy!$A$6:$Q$31,3,FALSE),0)</f>
        <v>0</v>
      </c>
      <c r="H83" s="17">
        <f t="shared" si="11"/>
        <v>0</v>
      </c>
      <c r="I83" s="12">
        <f>IFERROR(VLOOKUP($B83,Súpravy!$A$6:$Q$31,9,FALSE),0)</f>
        <v>0</v>
      </c>
      <c r="J83" s="12">
        <f>IFERROR(VLOOKUP($B83,Súpravy!$A$6:$Q$31,12,FALSE),0)</f>
        <v>0</v>
      </c>
      <c r="K83" s="12">
        <f>IFERROR(VLOOKUP($B83,Súpravy!$A$6:$Q$31,17,FALSE),0)</f>
        <v>0</v>
      </c>
      <c r="L83" s="12">
        <f>IFERROR(VLOOKUP($B83,Súpravy!$A$6:$Q$31,18,FALSE),0)</f>
        <v>0</v>
      </c>
      <c r="M83" s="17">
        <f t="shared" si="10"/>
        <v>0</v>
      </c>
      <c r="N83" s="93">
        <f>IF(OR(C83=53.328,M83&lt;=80%),0,D83*(Ocenenie!$E$56*(M83)*(M83)*(M83)+Ocenenie!$E$57*(M83)*(M83)+Ocenenie!$E$58*(M83)-Ocenenie!$E$60))</f>
        <v>0</v>
      </c>
    </row>
    <row r="84" spans="1:14" x14ac:dyDescent="0.25">
      <c r="A84" s="1" t="str">
        <f>Grafikon!$B73</f>
        <v>Os 4312</v>
      </c>
      <c r="B84" s="199"/>
      <c r="C84" s="2">
        <f>Grafikon!$D73</f>
        <v>46.847000000000001</v>
      </c>
      <c r="D84" s="3">
        <f>Grafikon!$G73</f>
        <v>200</v>
      </c>
      <c r="E84" s="10">
        <f>IFERROR(VLOOKUP($B84,Súpravy!$A$6:$Q$31,6,FALSE),0)</f>
        <v>0</v>
      </c>
      <c r="F84" s="31">
        <f t="shared" si="9"/>
        <v>0</v>
      </c>
      <c r="G84" s="10">
        <f>IFERROR(VLOOKUP($B84,Súpravy!$A$6:$Q$31,3,FALSE),0)</f>
        <v>0</v>
      </c>
      <c r="H84" s="17">
        <f t="shared" si="11"/>
        <v>0</v>
      </c>
      <c r="I84" s="12">
        <f>IFERROR(VLOOKUP($B84,Súpravy!$A$6:$Q$31,9,FALSE),0)</f>
        <v>0</v>
      </c>
      <c r="J84" s="12">
        <f>IFERROR(VLOOKUP($B84,Súpravy!$A$6:$Q$31,12,FALSE),0)</f>
        <v>0</v>
      </c>
      <c r="K84" s="12">
        <f>IFERROR(VLOOKUP($B84,Súpravy!$A$6:$Q$31,17,FALSE),0)</f>
        <v>0</v>
      </c>
      <c r="L84" s="12">
        <f>IFERROR(VLOOKUP($B84,Súpravy!$A$6:$Q$31,18,FALSE),0)</f>
        <v>0</v>
      </c>
      <c r="M84" s="17">
        <f t="shared" si="10"/>
        <v>0</v>
      </c>
      <c r="N84" s="93">
        <f>IF(OR(C84=53.328,M84&lt;=80%),0,D84*(Ocenenie!$E$56*(M84)*(M84)*(M84)+Ocenenie!$E$57*(M84)*(M84)+Ocenenie!$E$58*(M84)-Ocenenie!$E$60))</f>
        <v>0</v>
      </c>
    </row>
    <row r="85" spans="1:14" x14ac:dyDescent="0.25">
      <c r="A85" s="1" t="str">
        <f>Grafikon!$B74</f>
        <v>Zr 1772</v>
      </c>
      <c r="B85" s="199"/>
      <c r="C85" s="2">
        <f>Grafikon!$D74</f>
        <v>100.175</v>
      </c>
      <c r="D85" s="3">
        <f>Grafikon!$G74</f>
        <v>100</v>
      </c>
      <c r="E85" s="10">
        <f>IFERROR(VLOOKUP($B85,Súpravy!$A$6:$Q$31,6,FALSE),0)</f>
        <v>0</v>
      </c>
      <c r="F85" s="31">
        <f t="shared" si="9"/>
        <v>0</v>
      </c>
      <c r="G85" s="10">
        <f>IFERROR(VLOOKUP($B85,Súpravy!$A$6:$Q$31,3,FALSE),0)</f>
        <v>0</v>
      </c>
      <c r="H85" s="17">
        <f t="shared" si="11"/>
        <v>0</v>
      </c>
      <c r="I85" s="12">
        <f>IFERROR(VLOOKUP($B85,Súpravy!$A$6:$Q$31,9,FALSE),0)</f>
        <v>0</v>
      </c>
      <c r="J85" s="12">
        <f>IFERROR(VLOOKUP($B85,Súpravy!$A$6:$Q$31,12,FALSE),0)</f>
        <v>0</v>
      </c>
      <c r="K85" s="12">
        <f>IFERROR(VLOOKUP($B85,Súpravy!$A$6:$Q$31,17,FALSE),0)</f>
        <v>0</v>
      </c>
      <c r="L85" s="12">
        <f>IFERROR(VLOOKUP($B85,Súpravy!$A$6:$Q$31,18,FALSE),0)</f>
        <v>0</v>
      </c>
      <c r="M85" s="17">
        <f t="shared" si="10"/>
        <v>0</v>
      </c>
      <c r="N85" s="93">
        <f>IF(OR(C85=53.328,M85&lt;=80%),0,D85*(Ocenenie!$E$56*(M85)*(M85)*(M85)+Ocenenie!$E$57*(M85)*(M85)+Ocenenie!$E$58*(M85)-Ocenenie!$E$60))</f>
        <v>0</v>
      </c>
    </row>
    <row r="86" spans="1:14" x14ac:dyDescent="0.25">
      <c r="A86" s="1" t="str">
        <f>Grafikon!$B75</f>
        <v>Os 4314</v>
      </c>
      <c r="B86" s="199"/>
      <c r="C86" s="2">
        <f>Grafikon!$D75</f>
        <v>46.847000000000001</v>
      </c>
      <c r="D86" s="3">
        <f>Grafikon!$G75</f>
        <v>200</v>
      </c>
      <c r="E86" s="10">
        <f>IFERROR(VLOOKUP($B86,Súpravy!$A$6:$Q$31,6,FALSE),0)</f>
        <v>0</v>
      </c>
      <c r="F86" s="31">
        <f t="shared" si="9"/>
        <v>0</v>
      </c>
      <c r="G86" s="10">
        <f>IFERROR(VLOOKUP($B86,Súpravy!$A$6:$Q$31,3,FALSE),0)</f>
        <v>0</v>
      </c>
      <c r="H86" s="17">
        <f t="shared" si="11"/>
        <v>0</v>
      </c>
      <c r="I86" s="12">
        <f>IFERROR(VLOOKUP($B86,Súpravy!$A$6:$Q$31,9,FALSE),0)</f>
        <v>0</v>
      </c>
      <c r="J86" s="12">
        <f>IFERROR(VLOOKUP($B86,Súpravy!$A$6:$Q$31,12,FALSE),0)</f>
        <v>0</v>
      </c>
      <c r="K86" s="12">
        <f>IFERROR(VLOOKUP($B86,Súpravy!$A$6:$Q$31,17,FALSE),0)</f>
        <v>0</v>
      </c>
      <c r="L86" s="12">
        <f>IFERROR(VLOOKUP($B86,Súpravy!$A$6:$Q$31,18,FALSE),0)</f>
        <v>0</v>
      </c>
      <c r="M86" s="17">
        <f t="shared" si="10"/>
        <v>0</v>
      </c>
      <c r="N86" s="93">
        <f>IF(OR(C86=53.328,M86&lt;=80%),0,D86*(Ocenenie!$E$56*(M86)*(M86)*(M86)+Ocenenie!$E$57*(M86)*(M86)+Ocenenie!$E$58*(M86)-Ocenenie!$E$60))</f>
        <v>0</v>
      </c>
    </row>
    <row r="87" spans="1:14" x14ac:dyDescent="0.25">
      <c r="A87" s="1" t="str">
        <f>Grafikon!$B76</f>
        <v>Os 4316</v>
      </c>
      <c r="B87" s="199"/>
      <c r="C87" s="2">
        <f>Grafikon!$D76</f>
        <v>46.847000000000001</v>
      </c>
      <c r="D87" s="3">
        <f>Grafikon!$G76</f>
        <v>200</v>
      </c>
      <c r="E87" s="10">
        <f>IFERROR(VLOOKUP($B87,Súpravy!$A$6:$Q$31,6,FALSE),0)</f>
        <v>0</v>
      </c>
      <c r="F87" s="31">
        <f t="shared" si="9"/>
        <v>0</v>
      </c>
      <c r="G87" s="10">
        <f>IFERROR(VLOOKUP($B87,Súpravy!$A$6:$Q$31,3,FALSE),0)</f>
        <v>0</v>
      </c>
      <c r="H87" s="17">
        <f t="shared" si="11"/>
        <v>0</v>
      </c>
      <c r="I87" s="12">
        <f>IFERROR(VLOOKUP($B87,Súpravy!$A$6:$Q$31,9,FALSE),0)</f>
        <v>0</v>
      </c>
      <c r="J87" s="12">
        <f>IFERROR(VLOOKUP($B87,Súpravy!$A$6:$Q$31,12,FALSE),0)</f>
        <v>0</v>
      </c>
      <c r="K87" s="12">
        <f>IFERROR(VLOOKUP($B87,Súpravy!$A$6:$Q$31,17,FALSE),0)</f>
        <v>0</v>
      </c>
      <c r="L87" s="12">
        <f>IFERROR(VLOOKUP($B87,Súpravy!$A$6:$Q$31,18,FALSE),0)</f>
        <v>0</v>
      </c>
      <c r="M87" s="17">
        <f t="shared" si="10"/>
        <v>0</v>
      </c>
      <c r="N87" s="93">
        <f>IF(OR(C87=53.328,M87&lt;=80%),0,D87*(Ocenenie!$E$56*(M87)*(M87)*(M87)+Ocenenie!$E$57*(M87)*(M87)+Ocenenie!$E$58*(M87)-Ocenenie!$E$60))</f>
        <v>0</v>
      </c>
    </row>
    <row r="88" spans="1:14" x14ac:dyDescent="0.25">
      <c r="A88" s="1" t="str">
        <f>Grafikon!$B77</f>
        <v>Zr 1776</v>
      </c>
      <c r="B88" s="199"/>
      <c r="C88" s="2">
        <f>Grafikon!$D77</f>
        <v>100.175</v>
      </c>
      <c r="D88" s="3">
        <f>Grafikon!$G77</f>
        <v>100</v>
      </c>
      <c r="E88" s="10">
        <f>IFERROR(VLOOKUP($B88,Súpravy!$A$6:$Q$31,6,FALSE),0)</f>
        <v>0</v>
      </c>
      <c r="F88" s="31">
        <f t="shared" si="9"/>
        <v>0</v>
      </c>
      <c r="G88" s="10">
        <f>IFERROR(VLOOKUP($B88,Súpravy!$A$6:$Q$31,3,FALSE),0)</f>
        <v>0</v>
      </c>
      <c r="H88" s="17">
        <f t="shared" si="11"/>
        <v>0</v>
      </c>
      <c r="I88" s="12">
        <f>IFERROR(VLOOKUP($B88,Súpravy!$A$6:$Q$31,9,FALSE),0)</f>
        <v>0</v>
      </c>
      <c r="J88" s="12">
        <f>IFERROR(VLOOKUP($B88,Súpravy!$A$6:$Q$31,12,FALSE),0)</f>
        <v>0</v>
      </c>
      <c r="K88" s="12">
        <f>IFERROR(VLOOKUP($B88,Súpravy!$A$6:$Q$31,17,FALSE),0)</f>
        <v>0</v>
      </c>
      <c r="L88" s="12">
        <f>IFERROR(VLOOKUP($B88,Súpravy!$A$6:$Q$31,18,FALSE),0)</f>
        <v>0</v>
      </c>
      <c r="M88" s="17">
        <f t="shared" si="10"/>
        <v>0</v>
      </c>
      <c r="N88" s="93">
        <f>IF(OR(C88=53.328,M88&lt;=80%),0,D88*(Ocenenie!$E$56*(M88)*(M88)*(M88)+Ocenenie!$E$57*(M88)*(M88)+Ocenenie!$E$58*(M88)-Ocenenie!$E$60))</f>
        <v>0</v>
      </c>
    </row>
    <row r="89" spans="1:14" x14ac:dyDescent="0.25">
      <c r="A89" s="1" t="str">
        <f>Grafikon!$B78</f>
        <v>Os 4318</v>
      </c>
      <c r="B89" s="199"/>
      <c r="C89" s="2">
        <f>Grafikon!$D78</f>
        <v>46.847000000000001</v>
      </c>
      <c r="D89" s="3">
        <f>Grafikon!$G78</f>
        <v>200</v>
      </c>
      <c r="E89" s="10">
        <f>IFERROR(VLOOKUP($B89,Súpravy!$A$6:$Q$31,6,FALSE),0)</f>
        <v>0</v>
      </c>
      <c r="F89" s="31">
        <f t="shared" si="9"/>
        <v>0</v>
      </c>
      <c r="G89" s="10">
        <f>IFERROR(VLOOKUP($B89,Súpravy!$A$6:$Q$31,3,FALSE),0)</f>
        <v>0</v>
      </c>
      <c r="H89" s="17">
        <f t="shared" si="11"/>
        <v>0</v>
      </c>
      <c r="I89" s="12">
        <f>IFERROR(VLOOKUP($B89,Súpravy!$A$6:$Q$31,9,FALSE),0)</f>
        <v>0</v>
      </c>
      <c r="J89" s="12">
        <f>IFERROR(VLOOKUP($B89,Súpravy!$A$6:$Q$31,12,FALSE),0)</f>
        <v>0</v>
      </c>
      <c r="K89" s="12">
        <f>IFERROR(VLOOKUP($B89,Súpravy!$A$6:$Q$31,17,FALSE),0)</f>
        <v>0</v>
      </c>
      <c r="L89" s="12">
        <f>IFERROR(VLOOKUP($B89,Súpravy!$A$6:$Q$31,18,FALSE),0)</f>
        <v>0</v>
      </c>
      <c r="M89" s="17">
        <f t="shared" si="10"/>
        <v>0</v>
      </c>
      <c r="N89" s="93">
        <f>IF(OR(C89=53.328,M89&lt;=80%),0,D89*(Ocenenie!$E$56*(M89)*(M89)*(M89)+Ocenenie!$E$57*(M89)*(M89)+Ocenenie!$E$58*(M89)-Ocenenie!$E$60))</f>
        <v>0</v>
      </c>
    </row>
    <row r="90" spans="1:14" x14ac:dyDescent="0.25">
      <c r="A90" s="1" t="str">
        <f>Grafikon!$B79</f>
        <v>Os 4352</v>
      </c>
      <c r="B90" s="199"/>
      <c r="C90" s="2">
        <f>Grafikon!$D79</f>
        <v>26.718</v>
      </c>
      <c r="D90" s="3">
        <f>Grafikon!$G79</f>
        <v>100</v>
      </c>
      <c r="E90" s="10">
        <f>IFERROR(VLOOKUP($B90,Súpravy!$A$6:$Q$31,6,FALSE),0)</f>
        <v>0</v>
      </c>
      <c r="F90" s="31">
        <f t="shared" si="9"/>
        <v>0</v>
      </c>
      <c r="G90" s="10">
        <f>IFERROR(VLOOKUP($B90,Súpravy!$A$6:$Q$31,3,FALSE),0)</f>
        <v>0</v>
      </c>
      <c r="H90" s="17">
        <f t="shared" si="11"/>
        <v>0</v>
      </c>
      <c r="I90" s="12">
        <f>IFERROR(VLOOKUP($B90,Súpravy!$A$6:$Q$31,9,FALSE),0)</f>
        <v>0</v>
      </c>
      <c r="J90" s="12">
        <f>IFERROR(VLOOKUP($B90,Súpravy!$A$6:$Q$31,12,FALSE),0)</f>
        <v>0</v>
      </c>
      <c r="K90" s="12">
        <f>IFERROR(VLOOKUP($B90,Súpravy!$A$6:$Q$31,17,FALSE),0)</f>
        <v>0</v>
      </c>
      <c r="L90" s="12">
        <f>IFERROR(VLOOKUP($B90,Súpravy!$A$6:$Q$31,18,FALSE),0)</f>
        <v>0</v>
      </c>
      <c r="M90" s="17">
        <f t="shared" si="10"/>
        <v>0</v>
      </c>
      <c r="N90" s="93">
        <f>IF(OR(C90=53.328,M90&lt;=80%),0,D90*(Ocenenie!$E$56*(M90)*(M90)*(M90)+Ocenenie!$E$57*(M90)*(M90)+Ocenenie!$E$58*(M90)-Ocenenie!$E$60))</f>
        <v>0</v>
      </c>
    </row>
    <row r="91" spans="1:14" x14ac:dyDescent="0.25">
      <c r="A91" s="1" t="str">
        <f>Grafikon!$B80</f>
        <v>Os 4320</v>
      </c>
      <c r="B91" s="199"/>
      <c r="C91" s="2">
        <f>Grafikon!$D80</f>
        <v>46.847000000000001</v>
      </c>
      <c r="D91" s="3">
        <f>Grafikon!$G80</f>
        <v>200</v>
      </c>
      <c r="E91" s="10">
        <f>IFERROR(VLOOKUP($B91,Súpravy!$A$6:$Q$31,6,FALSE),0)</f>
        <v>0</v>
      </c>
      <c r="F91" s="31">
        <f t="shared" si="9"/>
        <v>0</v>
      </c>
      <c r="G91" s="10">
        <f>IFERROR(VLOOKUP($B91,Súpravy!$A$6:$Q$31,3,FALSE),0)</f>
        <v>0</v>
      </c>
      <c r="H91" s="17">
        <f t="shared" si="11"/>
        <v>0</v>
      </c>
      <c r="I91" s="12">
        <f>IFERROR(VLOOKUP($B91,Súpravy!$A$6:$Q$31,9,FALSE),0)</f>
        <v>0</v>
      </c>
      <c r="J91" s="12">
        <f>IFERROR(VLOOKUP($B91,Súpravy!$A$6:$Q$31,12,FALSE),0)</f>
        <v>0</v>
      </c>
      <c r="K91" s="12">
        <f>IFERROR(VLOOKUP($B91,Súpravy!$A$6:$Q$31,17,FALSE),0)</f>
        <v>0</v>
      </c>
      <c r="L91" s="12">
        <f>IFERROR(VLOOKUP($B91,Súpravy!$A$6:$Q$31,18,FALSE),0)</f>
        <v>0</v>
      </c>
      <c r="M91" s="17">
        <f t="shared" si="10"/>
        <v>0</v>
      </c>
      <c r="N91" s="93">
        <f>IF(OR(C91=53.328,M91&lt;=80%),0,D91*(Ocenenie!$E$56*(M91)*(M91)*(M91)+Ocenenie!$E$57*(M91)*(M91)+Ocenenie!$E$58*(M91)-Ocenenie!$E$60))</f>
        <v>0</v>
      </c>
    </row>
    <row r="92" spans="1:14" x14ac:dyDescent="0.25">
      <c r="A92" s="1" t="str">
        <f>Grafikon!$B81</f>
        <v>Zr 1780</v>
      </c>
      <c r="B92" s="199"/>
      <c r="C92" s="2">
        <f>Grafikon!$D81</f>
        <v>100.175</v>
      </c>
      <c r="D92" s="3">
        <f>Grafikon!$G81</f>
        <v>200</v>
      </c>
      <c r="E92" s="10">
        <f>IFERROR(VLOOKUP($B92,Súpravy!$A$6:$Q$31,6,FALSE),0)</f>
        <v>0</v>
      </c>
      <c r="F92" s="31">
        <f t="shared" si="9"/>
        <v>0</v>
      </c>
      <c r="G92" s="10">
        <f>IFERROR(VLOOKUP($B92,Súpravy!$A$6:$Q$31,3,FALSE),0)</f>
        <v>0</v>
      </c>
      <c r="H92" s="17">
        <f t="shared" si="11"/>
        <v>0</v>
      </c>
      <c r="I92" s="12">
        <f>IFERROR(VLOOKUP($B92,Súpravy!$A$6:$Q$31,9,FALSE),0)</f>
        <v>0</v>
      </c>
      <c r="J92" s="12">
        <f>IFERROR(VLOOKUP($B92,Súpravy!$A$6:$Q$31,12,FALSE),0)</f>
        <v>0</v>
      </c>
      <c r="K92" s="12">
        <f>IFERROR(VLOOKUP($B92,Súpravy!$A$6:$Q$31,17,FALSE),0)</f>
        <v>0</v>
      </c>
      <c r="L92" s="12">
        <f>IFERROR(VLOOKUP($B92,Súpravy!$A$6:$Q$31,18,FALSE),0)</f>
        <v>0</v>
      </c>
      <c r="M92" s="17">
        <f t="shared" si="10"/>
        <v>0</v>
      </c>
      <c r="N92" s="93">
        <f>IF(OR(C92=53.328,M92&lt;=80%),0,D92*(Ocenenie!$E$56*(M92)*(M92)*(M92)+Ocenenie!$E$57*(M92)*(M92)+Ocenenie!$E$58*(M92)-Ocenenie!$E$60))</f>
        <v>0</v>
      </c>
    </row>
    <row r="93" spans="1:14" x14ac:dyDescent="0.25">
      <c r="A93" s="1" t="str">
        <f>Grafikon!$B82</f>
        <v>Os 4354</v>
      </c>
      <c r="B93" s="199"/>
      <c r="C93" s="2">
        <f>Grafikon!$D82</f>
        <v>26.718</v>
      </c>
      <c r="D93" s="3">
        <f>Grafikon!$G82</f>
        <v>100</v>
      </c>
      <c r="E93" s="10">
        <f>IFERROR(VLOOKUP($B93,Súpravy!$A$6:$Q$31,6,FALSE),0)</f>
        <v>0</v>
      </c>
      <c r="F93" s="31">
        <f t="shared" si="9"/>
        <v>0</v>
      </c>
      <c r="G93" s="10">
        <f>IFERROR(VLOOKUP($B93,Súpravy!$A$6:$Q$31,3,FALSE),0)</f>
        <v>0</v>
      </c>
      <c r="H93" s="17">
        <f t="shared" si="11"/>
        <v>0</v>
      </c>
      <c r="I93" s="12">
        <f>IFERROR(VLOOKUP($B93,Súpravy!$A$6:$Q$31,9,FALSE),0)</f>
        <v>0</v>
      </c>
      <c r="J93" s="12">
        <f>IFERROR(VLOOKUP($B93,Súpravy!$A$6:$Q$31,12,FALSE),0)</f>
        <v>0</v>
      </c>
      <c r="K93" s="12">
        <f>IFERROR(VLOOKUP($B93,Súpravy!$A$6:$Q$31,17,FALSE),0)</f>
        <v>0</v>
      </c>
      <c r="L93" s="12">
        <f>IFERROR(VLOOKUP($B93,Súpravy!$A$6:$Q$31,18,FALSE),0)</f>
        <v>0</v>
      </c>
      <c r="M93" s="17">
        <f t="shared" si="10"/>
        <v>0</v>
      </c>
      <c r="N93" s="93">
        <f>IF(OR(C93=53.328,M93&lt;=80%),0,D93*(Ocenenie!$E$56*(M93)*(M93)*(M93)+Ocenenie!$E$57*(M93)*(M93)+Ocenenie!$E$58*(M93)-Ocenenie!$E$60))</f>
        <v>0</v>
      </c>
    </row>
    <row r="94" spans="1:14" x14ac:dyDescent="0.25">
      <c r="A94" s="1" t="str">
        <f>Grafikon!$B83</f>
        <v>Os 4322</v>
      </c>
      <c r="B94" s="199"/>
      <c r="C94" s="2">
        <f>Grafikon!$D83</f>
        <v>46.847000000000001</v>
      </c>
      <c r="D94" s="3">
        <f>Grafikon!$G83</f>
        <v>200</v>
      </c>
      <c r="E94" s="10">
        <f>IFERROR(VLOOKUP($B94,Súpravy!$A$6:$Q$31,6,FALSE),0)</f>
        <v>0</v>
      </c>
      <c r="F94" s="31">
        <f t="shared" si="9"/>
        <v>0</v>
      </c>
      <c r="G94" s="10">
        <f>IFERROR(VLOOKUP($B94,Súpravy!$A$6:$Q$31,3,FALSE),0)</f>
        <v>0</v>
      </c>
      <c r="H94" s="17">
        <f t="shared" si="11"/>
        <v>0</v>
      </c>
      <c r="I94" s="12">
        <f>IFERROR(VLOOKUP($B94,Súpravy!$A$6:$Q$31,9,FALSE),0)</f>
        <v>0</v>
      </c>
      <c r="J94" s="12">
        <f>IFERROR(VLOOKUP($B94,Súpravy!$A$6:$Q$31,12,FALSE),0)</f>
        <v>0</v>
      </c>
      <c r="K94" s="12">
        <f>IFERROR(VLOOKUP($B94,Súpravy!$A$6:$Q$31,17,FALSE),0)</f>
        <v>0</v>
      </c>
      <c r="L94" s="12">
        <f>IFERROR(VLOOKUP($B94,Súpravy!$A$6:$Q$31,18,FALSE),0)</f>
        <v>0</v>
      </c>
      <c r="M94" s="17">
        <f t="shared" si="10"/>
        <v>0</v>
      </c>
      <c r="N94" s="93">
        <f>IF(OR(C94=53.328,M94&lt;=80%),0,D94*(Ocenenie!$E$56*(M94)*(M94)*(M94)+Ocenenie!$E$57*(M94)*(M94)+Ocenenie!$E$58*(M94)-Ocenenie!$E$60))</f>
        <v>0</v>
      </c>
    </row>
    <row r="95" spans="1:14" x14ac:dyDescent="0.25">
      <c r="A95" s="1" t="str">
        <f>Grafikon!$B84</f>
        <v>Os 4376</v>
      </c>
      <c r="B95" s="199"/>
      <c r="C95" s="2">
        <f>Grafikon!$D84</f>
        <v>53.328000000000003</v>
      </c>
      <c r="D95" s="3">
        <f>Grafikon!$G84</f>
        <v>200</v>
      </c>
      <c r="E95" s="10">
        <f>IFERROR(VLOOKUP($B95,Súpravy!$A$6:$Q$31,6,FALSE),0)</f>
        <v>0</v>
      </c>
      <c r="F95" s="31">
        <f t="shared" si="9"/>
        <v>0</v>
      </c>
      <c r="G95" s="10">
        <f>IFERROR(VLOOKUP($B95,Súpravy!$A$6:$Q$31,3,FALSE),0)</f>
        <v>0</v>
      </c>
      <c r="H95" s="17">
        <f t="shared" si="11"/>
        <v>0</v>
      </c>
      <c r="I95" s="12">
        <f>IFERROR(VLOOKUP($B95,Súpravy!$A$6:$Q$31,9,FALSE),0)</f>
        <v>0</v>
      </c>
      <c r="J95" s="12">
        <f>IFERROR(VLOOKUP($B95,Súpravy!$A$6:$Q$31,12,FALSE),0)</f>
        <v>0</v>
      </c>
      <c r="K95" s="12">
        <f>IFERROR(VLOOKUP($B95,Súpravy!$A$6:$Q$31,17,FALSE),0)</f>
        <v>0</v>
      </c>
      <c r="L95" s="12">
        <f>IFERROR(VLOOKUP($B95,Súpravy!$A$6:$Q$31,18,FALSE),0)</f>
        <v>0</v>
      </c>
      <c r="M95" s="17">
        <f t="shared" si="10"/>
        <v>0</v>
      </c>
      <c r="N95" s="93">
        <f>IF(OR(C95=53.328,M95&lt;=80%),0,D95*(Ocenenie!$E$56*(M95)*(M95)*(M95)+Ocenenie!$E$57*(M95)*(M95)+Ocenenie!$E$58*(M95)-Ocenenie!$E$60))</f>
        <v>0</v>
      </c>
    </row>
    <row r="96" spans="1:14" x14ac:dyDescent="0.25">
      <c r="A96" s="1" t="str">
        <f>Grafikon!$B85</f>
        <v>Zr 1782</v>
      </c>
      <c r="B96" s="199"/>
      <c r="C96" s="2">
        <f>Grafikon!$D85</f>
        <v>46.847000000000001</v>
      </c>
      <c r="D96" s="3">
        <f>Grafikon!$G85</f>
        <v>100</v>
      </c>
      <c r="E96" s="10">
        <f>IFERROR(VLOOKUP($B96,Súpravy!$A$6:$Q$31,6,FALSE),0)</f>
        <v>0</v>
      </c>
      <c r="F96" s="31">
        <f t="shared" si="9"/>
        <v>0</v>
      </c>
      <c r="G96" s="10">
        <f>IFERROR(VLOOKUP($B96,Súpravy!$A$6:$Q$31,3,FALSE),0)</f>
        <v>0</v>
      </c>
      <c r="H96" s="17">
        <f t="shared" si="11"/>
        <v>0</v>
      </c>
      <c r="I96" s="12">
        <f>IFERROR(VLOOKUP($B96,Súpravy!$A$6:$Q$31,9,FALSE),0)</f>
        <v>0</v>
      </c>
      <c r="J96" s="12">
        <f>IFERROR(VLOOKUP($B96,Súpravy!$A$6:$Q$31,12,FALSE),0)</f>
        <v>0</v>
      </c>
      <c r="K96" s="12">
        <f>IFERROR(VLOOKUP($B96,Súpravy!$A$6:$Q$31,17,FALSE),0)</f>
        <v>0</v>
      </c>
      <c r="L96" s="12">
        <f>IFERROR(VLOOKUP($B96,Súpravy!$A$6:$Q$31,18,FALSE),0)</f>
        <v>0</v>
      </c>
      <c r="M96" s="17">
        <f t="shared" si="10"/>
        <v>0</v>
      </c>
      <c r="N96" s="93">
        <f>IF(OR(C96=53.328,M96&lt;=80%),0,D96*(Ocenenie!$E$56*(M96)*(M96)*(M96)+Ocenenie!$E$57*(M96)*(M96)+Ocenenie!$E$58*(M96)-Ocenenie!$E$60))</f>
        <v>0</v>
      </c>
    </row>
    <row r="97" spans="1:14" x14ac:dyDescent="0.25">
      <c r="A97" s="1" t="str">
        <f>Grafikon!$B86</f>
        <v>Os 4356</v>
      </c>
      <c r="B97" s="199"/>
      <c r="C97" s="2">
        <f>Grafikon!$D86</f>
        <v>26.718</v>
      </c>
      <c r="D97" s="3">
        <f>Grafikon!$G86</f>
        <v>100</v>
      </c>
      <c r="E97" s="10">
        <f>IFERROR(VLOOKUP($B97,Súpravy!$A$6:$Q$31,6,FALSE),0)</f>
        <v>0</v>
      </c>
      <c r="F97" s="31">
        <f t="shared" ref="F97:F113" si="12">MIN(E97/D97,1)</f>
        <v>0</v>
      </c>
      <c r="G97" s="10">
        <f>IFERROR(VLOOKUP($B97,Súpravy!$A$6:$Q$31,3,FALSE),0)</f>
        <v>0</v>
      </c>
      <c r="H97" s="17">
        <f t="shared" si="11"/>
        <v>0</v>
      </c>
      <c r="I97" s="12">
        <f>IFERROR(VLOOKUP($B97,Súpravy!$A$6:$Q$31,9,FALSE),0)</f>
        <v>0</v>
      </c>
      <c r="J97" s="12">
        <f>IFERROR(VLOOKUP($B97,Súpravy!$A$6:$Q$31,12,FALSE),0)</f>
        <v>0</v>
      </c>
      <c r="K97" s="12">
        <f>IFERROR(VLOOKUP($B97,Súpravy!$A$6:$Q$31,17,FALSE),0)</f>
        <v>0</v>
      </c>
      <c r="L97" s="12">
        <f>IFERROR(VLOOKUP($B97,Súpravy!$A$6:$Q$31,18,FALSE),0)</f>
        <v>0</v>
      </c>
      <c r="M97" s="17">
        <f t="shared" ref="M97:M113" si="13">IFERROR(D97/G97,0)</f>
        <v>0</v>
      </c>
      <c r="N97" s="93">
        <f>IF(OR(C97=53.328,M97&lt;=80%),0,D97*(Ocenenie!$E$56*(M97)*(M97)*(M97)+Ocenenie!$E$57*(M97)*(M97)+Ocenenie!$E$58*(M97)-Ocenenie!$E$60))</f>
        <v>0</v>
      </c>
    </row>
    <row r="98" spans="1:14" x14ac:dyDescent="0.25">
      <c r="A98" s="1" t="str">
        <f>Grafikon!$B87</f>
        <v>Os 4324</v>
      </c>
      <c r="B98" s="199"/>
      <c r="C98" s="2">
        <f>Grafikon!$D87</f>
        <v>46.847000000000001</v>
      </c>
      <c r="D98" s="3">
        <f>Grafikon!$G87</f>
        <v>100</v>
      </c>
      <c r="E98" s="10">
        <f>IFERROR(VLOOKUP($B98,Súpravy!$A$6:$Q$31,6,FALSE),0)</f>
        <v>0</v>
      </c>
      <c r="F98" s="31">
        <f t="shared" si="12"/>
        <v>0</v>
      </c>
      <c r="G98" s="10">
        <f>IFERROR(VLOOKUP($B98,Súpravy!$A$6:$Q$31,3,FALSE),0)</f>
        <v>0</v>
      </c>
      <c r="H98" s="17">
        <f t="shared" si="11"/>
        <v>0</v>
      </c>
      <c r="I98" s="12">
        <f>IFERROR(VLOOKUP($B98,Súpravy!$A$6:$Q$31,9,FALSE),0)</f>
        <v>0</v>
      </c>
      <c r="J98" s="12">
        <f>IFERROR(VLOOKUP($B98,Súpravy!$A$6:$Q$31,12,FALSE),0)</f>
        <v>0</v>
      </c>
      <c r="K98" s="12">
        <f>IFERROR(VLOOKUP($B98,Súpravy!$A$6:$Q$31,17,FALSE),0)</f>
        <v>0</v>
      </c>
      <c r="L98" s="12">
        <f>IFERROR(VLOOKUP($B98,Súpravy!$A$6:$Q$31,18,FALSE),0)</f>
        <v>0</v>
      </c>
      <c r="M98" s="17">
        <f t="shared" si="13"/>
        <v>0</v>
      </c>
      <c r="N98" s="93">
        <f>IF(OR(C98=53.328,M98&lt;=80%),0,D98*(Ocenenie!$E$56*(M98)*(M98)*(M98)+Ocenenie!$E$57*(M98)*(M98)+Ocenenie!$E$58*(M98)-Ocenenie!$E$60))</f>
        <v>0</v>
      </c>
    </row>
    <row r="99" spans="1:14" x14ac:dyDescent="0.25">
      <c r="A99" s="1" t="str">
        <f>Grafikon!$B88</f>
        <v>Zr 1784</v>
      </c>
      <c r="B99" s="199"/>
      <c r="C99" s="2">
        <f>Grafikon!$D88</f>
        <v>100.175</v>
      </c>
      <c r="D99" s="3">
        <f>Grafikon!$G88</f>
        <v>100</v>
      </c>
      <c r="E99" s="10">
        <f>IFERROR(VLOOKUP($B99,Súpravy!$A$6:$Q$31,6,FALSE),0)</f>
        <v>0</v>
      </c>
      <c r="F99" s="31">
        <f t="shared" si="12"/>
        <v>0</v>
      </c>
      <c r="G99" s="10">
        <f>IFERROR(VLOOKUP($B99,Súpravy!$A$6:$Q$31,3,FALSE),0)</f>
        <v>0</v>
      </c>
      <c r="H99" s="17">
        <f t="shared" si="11"/>
        <v>0</v>
      </c>
      <c r="I99" s="12">
        <f>IFERROR(VLOOKUP($B99,Súpravy!$A$6:$Q$31,9,FALSE),0)</f>
        <v>0</v>
      </c>
      <c r="J99" s="12">
        <f>IFERROR(VLOOKUP($B99,Súpravy!$A$6:$Q$31,12,FALSE),0)</f>
        <v>0</v>
      </c>
      <c r="K99" s="12">
        <f>IFERROR(VLOOKUP($B99,Súpravy!$A$6:$Q$31,17,FALSE),0)</f>
        <v>0</v>
      </c>
      <c r="L99" s="12">
        <f>IFERROR(VLOOKUP($B99,Súpravy!$A$6:$Q$31,18,FALSE),0)</f>
        <v>0</v>
      </c>
      <c r="M99" s="17">
        <f t="shared" si="13"/>
        <v>0</v>
      </c>
      <c r="N99" s="93">
        <f>IF(OR(C99=53.328,M99&lt;=80%),0,D99*(Ocenenie!$E$56*(M99)*(M99)*(M99)+Ocenenie!$E$57*(M99)*(M99)+Ocenenie!$E$58*(M99)-Ocenenie!$E$60))</f>
        <v>0</v>
      </c>
    </row>
    <row r="100" spans="1:14" x14ac:dyDescent="0.25">
      <c r="A100" s="1" t="str">
        <f>Grafikon!$B89</f>
        <v>Os 4358</v>
      </c>
      <c r="B100" s="199"/>
      <c r="C100" s="2">
        <f>Grafikon!$D89</f>
        <v>26.718</v>
      </c>
      <c r="D100" s="3">
        <f>Grafikon!$G89</f>
        <v>100</v>
      </c>
      <c r="E100" s="10">
        <f>IFERROR(VLOOKUP($B100,Súpravy!$A$6:$Q$31,6,FALSE),0)</f>
        <v>0</v>
      </c>
      <c r="F100" s="31">
        <f t="shared" si="12"/>
        <v>0</v>
      </c>
      <c r="G100" s="10">
        <f>IFERROR(VLOOKUP($B100,Súpravy!$A$6:$Q$31,3,FALSE),0)</f>
        <v>0</v>
      </c>
      <c r="H100" s="17">
        <f t="shared" si="11"/>
        <v>0</v>
      </c>
      <c r="I100" s="12">
        <f>IFERROR(VLOOKUP($B100,Súpravy!$A$6:$Q$31,9,FALSE),0)</f>
        <v>0</v>
      </c>
      <c r="J100" s="12">
        <f>IFERROR(VLOOKUP($B100,Súpravy!$A$6:$Q$31,12,FALSE),0)</f>
        <v>0</v>
      </c>
      <c r="K100" s="12">
        <f>IFERROR(VLOOKUP($B100,Súpravy!$A$6:$Q$31,17,FALSE),0)</f>
        <v>0</v>
      </c>
      <c r="L100" s="12">
        <f>IFERROR(VLOOKUP($B100,Súpravy!$A$6:$Q$31,18,FALSE),0)</f>
        <v>0</v>
      </c>
      <c r="M100" s="17">
        <f t="shared" si="13"/>
        <v>0</v>
      </c>
      <c r="N100" s="93">
        <f>IF(OR(C100=53.328,M100&lt;=80%),0,D100*(Ocenenie!$E$56*(M100)*(M100)*(M100)+Ocenenie!$E$57*(M100)*(M100)+Ocenenie!$E$58*(M100)-Ocenenie!$E$60))</f>
        <v>0</v>
      </c>
    </row>
    <row r="101" spans="1:14" x14ac:dyDescent="0.25">
      <c r="A101" s="1" t="str">
        <f>Grafikon!$B90</f>
        <v>Os 4326</v>
      </c>
      <c r="B101" s="199"/>
      <c r="C101" s="2">
        <f>Grafikon!$D90</f>
        <v>46.847000000000001</v>
      </c>
      <c r="D101" s="3">
        <f>Grafikon!$G90</f>
        <v>100</v>
      </c>
      <c r="E101" s="10">
        <f>IFERROR(VLOOKUP($B101,Súpravy!$A$6:$Q$31,6,FALSE),0)</f>
        <v>0</v>
      </c>
      <c r="F101" s="31">
        <f t="shared" si="12"/>
        <v>0</v>
      </c>
      <c r="G101" s="10">
        <f>IFERROR(VLOOKUP($B101,Súpravy!$A$6:$Q$31,3,FALSE),0)</f>
        <v>0</v>
      </c>
      <c r="H101" s="17">
        <f t="shared" si="11"/>
        <v>0</v>
      </c>
      <c r="I101" s="12">
        <f>IFERROR(VLOOKUP($B101,Súpravy!$A$6:$Q$31,9,FALSE),0)</f>
        <v>0</v>
      </c>
      <c r="J101" s="12">
        <f>IFERROR(VLOOKUP($B101,Súpravy!$A$6:$Q$31,12,FALSE),0)</f>
        <v>0</v>
      </c>
      <c r="K101" s="12">
        <f>IFERROR(VLOOKUP($B101,Súpravy!$A$6:$Q$31,17,FALSE),0)</f>
        <v>0</v>
      </c>
      <c r="L101" s="12">
        <f>IFERROR(VLOOKUP($B101,Súpravy!$A$6:$Q$31,18,FALSE),0)</f>
        <v>0</v>
      </c>
      <c r="M101" s="17">
        <f t="shared" si="13"/>
        <v>0</v>
      </c>
      <c r="N101" s="93">
        <f>IF(OR(C101=53.328,M101&lt;=80%),0,D101*(Ocenenie!$E$56*(M101)*(M101)*(M101)+Ocenenie!$E$57*(M101)*(M101)+Ocenenie!$E$58*(M101)-Ocenenie!$E$60))</f>
        <v>0</v>
      </c>
    </row>
    <row r="102" spans="1:14" x14ac:dyDescent="0.25">
      <c r="A102" s="1" t="str">
        <f>Grafikon!$B91</f>
        <v>Os 4378</v>
      </c>
      <c r="B102" s="199"/>
      <c r="C102" s="2">
        <f>Grafikon!$D91</f>
        <v>53.328000000000003</v>
      </c>
      <c r="D102" s="3">
        <f>Grafikon!$G91</f>
        <v>100</v>
      </c>
      <c r="E102" s="10">
        <f>IFERROR(VLOOKUP($B102,Súpravy!$A$6:$Q$31,6,FALSE),0)</f>
        <v>0</v>
      </c>
      <c r="F102" s="31">
        <f t="shared" si="12"/>
        <v>0</v>
      </c>
      <c r="G102" s="10">
        <f>IFERROR(VLOOKUP($B102,Súpravy!$A$6:$Q$31,3,FALSE),0)</f>
        <v>0</v>
      </c>
      <c r="H102" s="17">
        <f t="shared" si="11"/>
        <v>0</v>
      </c>
      <c r="I102" s="12">
        <f>IFERROR(VLOOKUP($B102,Súpravy!$A$6:$Q$31,9,FALSE),0)</f>
        <v>0</v>
      </c>
      <c r="J102" s="12">
        <f>IFERROR(VLOOKUP($B102,Súpravy!$A$6:$Q$31,12,FALSE),0)</f>
        <v>0</v>
      </c>
      <c r="K102" s="12">
        <f>IFERROR(VLOOKUP($B102,Súpravy!$A$6:$Q$31,17,FALSE),0)</f>
        <v>0</v>
      </c>
      <c r="L102" s="12">
        <f>IFERROR(VLOOKUP($B102,Súpravy!$A$6:$Q$31,18,FALSE),0)</f>
        <v>0</v>
      </c>
      <c r="M102" s="17">
        <f t="shared" si="13"/>
        <v>0</v>
      </c>
      <c r="N102" s="93">
        <f>IF(OR(C102=53.328,M102&lt;=80%),0,D102*(Ocenenie!$E$56*(M102)*(M102)*(M102)+Ocenenie!$E$57*(M102)*(M102)+Ocenenie!$E$58*(M102)-Ocenenie!$E$60))</f>
        <v>0</v>
      </c>
    </row>
    <row r="103" spans="1:14" x14ac:dyDescent="0.25">
      <c r="A103" s="1" t="str">
        <f>Grafikon!$B92</f>
        <v>Zr 1786</v>
      </c>
      <c r="B103" s="199"/>
      <c r="C103" s="2">
        <f>Grafikon!$D92</f>
        <v>46.847000000000001</v>
      </c>
      <c r="D103" s="3">
        <f>Grafikon!$G92</f>
        <v>100</v>
      </c>
      <c r="E103" s="10">
        <f>IFERROR(VLOOKUP($B103,Súpravy!$A$6:$Q$31,6,FALSE),0)</f>
        <v>0</v>
      </c>
      <c r="F103" s="31">
        <f t="shared" si="12"/>
        <v>0</v>
      </c>
      <c r="G103" s="10">
        <f>IFERROR(VLOOKUP($B103,Súpravy!$A$6:$Q$31,3,FALSE),0)</f>
        <v>0</v>
      </c>
      <c r="H103" s="17">
        <f t="shared" si="11"/>
        <v>0</v>
      </c>
      <c r="I103" s="12">
        <f>IFERROR(VLOOKUP($B103,Súpravy!$A$6:$Q$31,9,FALSE),0)</f>
        <v>0</v>
      </c>
      <c r="J103" s="12">
        <f>IFERROR(VLOOKUP($B103,Súpravy!$A$6:$Q$31,12,FALSE),0)</f>
        <v>0</v>
      </c>
      <c r="K103" s="12">
        <f>IFERROR(VLOOKUP($B103,Súpravy!$A$6:$Q$31,17,FALSE),0)</f>
        <v>0</v>
      </c>
      <c r="L103" s="12">
        <f>IFERROR(VLOOKUP($B103,Súpravy!$A$6:$Q$31,18,FALSE),0)</f>
        <v>0</v>
      </c>
      <c r="M103" s="17">
        <f t="shared" si="13"/>
        <v>0</v>
      </c>
      <c r="N103" s="93">
        <f>IF(OR(C103=53.328,M103&lt;=80%),0,D103*(Ocenenie!$E$56*(M103)*(M103)*(M103)+Ocenenie!$E$57*(M103)*(M103)+Ocenenie!$E$58*(M103)-Ocenenie!$E$60))</f>
        <v>0</v>
      </c>
    </row>
    <row r="104" spans="1:14" x14ac:dyDescent="0.25">
      <c r="A104" s="1" t="str">
        <f>Grafikon!$B93</f>
        <v>Os 4360</v>
      </c>
      <c r="B104" s="199"/>
      <c r="C104" s="2">
        <f>Grafikon!$D93</f>
        <v>26.718</v>
      </c>
      <c r="D104" s="3">
        <f>Grafikon!$G93</f>
        <v>100</v>
      </c>
      <c r="E104" s="10">
        <f>IFERROR(VLOOKUP($B104,Súpravy!$A$6:$Q$31,6,FALSE),0)</f>
        <v>0</v>
      </c>
      <c r="F104" s="31">
        <f t="shared" si="12"/>
        <v>0</v>
      </c>
      <c r="G104" s="10">
        <f>IFERROR(VLOOKUP($B104,Súpravy!$A$6:$Q$31,3,FALSE),0)</f>
        <v>0</v>
      </c>
      <c r="H104" s="17">
        <f t="shared" si="11"/>
        <v>0</v>
      </c>
      <c r="I104" s="12">
        <f>IFERROR(VLOOKUP($B104,Súpravy!$A$6:$Q$31,9,FALSE),0)</f>
        <v>0</v>
      </c>
      <c r="J104" s="12">
        <f>IFERROR(VLOOKUP($B104,Súpravy!$A$6:$Q$31,12,FALSE),0)</f>
        <v>0</v>
      </c>
      <c r="K104" s="12">
        <f>IFERROR(VLOOKUP($B104,Súpravy!$A$6:$Q$31,17,FALSE),0)</f>
        <v>0</v>
      </c>
      <c r="L104" s="12">
        <f>IFERROR(VLOOKUP($B104,Súpravy!$A$6:$Q$31,18,FALSE),0)</f>
        <v>0</v>
      </c>
      <c r="M104" s="17">
        <f t="shared" si="13"/>
        <v>0</v>
      </c>
      <c r="N104" s="93">
        <f>IF(OR(C104=53.328,M104&lt;=80%),0,D104*(Ocenenie!$E$56*(M104)*(M104)*(M104)+Ocenenie!$E$57*(M104)*(M104)+Ocenenie!$E$58*(M104)-Ocenenie!$E$60))</f>
        <v>0</v>
      </c>
    </row>
    <row r="105" spans="1:14" x14ac:dyDescent="0.25">
      <c r="A105" s="1" t="str">
        <f>Grafikon!$B94</f>
        <v>Os 4328</v>
      </c>
      <c r="B105" s="199"/>
      <c r="C105" s="2">
        <f>Grafikon!$D94</f>
        <v>46.847000000000001</v>
      </c>
      <c r="D105" s="3">
        <f>Grafikon!$G94</f>
        <v>100</v>
      </c>
      <c r="E105" s="10">
        <f>IFERROR(VLOOKUP($B105,Súpravy!$A$6:$Q$31,6,FALSE),0)</f>
        <v>0</v>
      </c>
      <c r="F105" s="31">
        <f t="shared" si="12"/>
        <v>0</v>
      </c>
      <c r="G105" s="10">
        <f>IFERROR(VLOOKUP($B105,Súpravy!$A$6:$Q$31,3,FALSE),0)</f>
        <v>0</v>
      </c>
      <c r="H105" s="17">
        <f t="shared" si="11"/>
        <v>0</v>
      </c>
      <c r="I105" s="12">
        <f>IFERROR(VLOOKUP($B105,Súpravy!$A$6:$Q$31,9,FALSE),0)</f>
        <v>0</v>
      </c>
      <c r="J105" s="12">
        <f>IFERROR(VLOOKUP($B105,Súpravy!$A$6:$Q$31,12,FALSE),0)</f>
        <v>0</v>
      </c>
      <c r="K105" s="12">
        <f>IFERROR(VLOOKUP($B105,Súpravy!$A$6:$Q$31,17,FALSE),0)</f>
        <v>0</v>
      </c>
      <c r="L105" s="12">
        <f>IFERROR(VLOOKUP($B105,Súpravy!$A$6:$Q$31,18,FALSE),0)</f>
        <v>0</v>
      </c>
      <c r="M105" s="17">
        <f t="shared" si="13"/>
        <v>0</v>
      </c>
      <c r="N105" s="93">
        <f>IF(OR(C105=53.328,M105&lt;=80%),0,D105*(Ocenenie!$E$56*(M105)*(M105)*(M105)+Ocenenie!$E$57*(M105)*(M105)+Ocenenie!$E$58*(M105)-Ocenenie!$E$60))</f>
        <v>0</v>
      </c>
    </row>
    <row r="106" spans="1:14" x14ac:dyDescent="0.25">
      <c r="A106" s="1" t="str">
        <f>Grafikon!$B95</f>
        <v>Zr 1788</v>
      </c>
      <c r="B106" s="199"/>
      <c r="C106" s="2">
        <f>Grafikon!$D95</f>
        <v>100.175</v>
      </c>
      <c r="D106" s="3">
        <f>Grafikon!$G95</f>
        <v>100</v>
      </c>
      <c r="E106" s="10">
        <f>IFERROR(VLOOKUP($B106,Súpravy!$A$6:$Q$31,6,FALSE),0)</f>
        <v>0</v>
      </c>
      <c r="F106" s="31">
        <f t="shared" si="12"/>
        <v>0</v>
      </c>
      <c r="G106" s="10">
        <f>IFERROR(VLOOKUP($B106,Súpravy!$A$6:$Q$31,3,FALSE),0)</f>
        <v>0</v>
      </c>
      <c r="H106" s="17">
        <f t="shared" si="11"/>
        <v>0</v>
      </c>
      <c r="I106" s="12">
        <f>IFERROR(VLOOKUP($B106,Súpravy!$A$6:$Q$31,9,FALSE),0)</f>
        <v>0</v>
      </c>
      <c r="J106" s="12">
        <f>IFERROR(VLOOKUP($B106,Súpravy!$A$6:$Q$31,12,FALSE),0)</f>
        <v>0</v>
      </c>
      <c r="K106" s="12">
        <f>IFERROR(VLOOKUP($B106,Súpravy!$A$6:$Q$31,17,FALSE),0)</f>
        <v>0</v>
      </c>
      <c r="L106" s="12">
        <f>IFERROR(VLOOKUP($B106,Súpravy!$A$6:$Q$31,18,FALSE),0)</f>
        <v>0</v>
      </c>
      <c r="M106" s="17">
        <f t="shared" si="13"/>
        <v>0</v>
      </c>
      <c r="N106" s="93">
        <f>IF(OR(C106=53.328,M106&lt;=80%),0,D106*(Ocenenie!$E$56*(M106)*(M106)*(M106)+Ocenenie!$E$57*(M106)*(M106)+Ocenenie!$E$58*(M106)-Ocenenie!$E$60))</f>
        <v>0</v>
      </c>
    </row>
    <row r="107" spans="1:14" x14ac:dyDescent="0.25">
      <c r="A107" s="1" t="str">
        <f>Grafikon!$B96</f>
        <v>Os 4362</v>
      </c>
      <c r="B107" s="199"/>
      <c r="C107" s="2">
        <f>Grafikon!$D96</f>
        <v>26.718</v>
      </c>
      <c r="D107" s="3">
        <f>Grafikon!$G96</f>
        <v>100</v>
      </c>
      <c r="E107" s="10">
        <f>IFERROR(VLOOKUP($B107,Súpravy!$A$6:$Q$31,6,FALSE),0)</f>
        <v>0</v>
      </c>
      <c r="F107" s="31">
        <f t="shared" si="12"/>
        <v>0</v>
      </c>
      <c r="G107" s="10">
        <f>IFERROR(VLOOKUP($B107,Súpravy!$A$6:$Q$31,3,FALSE),0)</f>
        <v>0</v>
      </c>
      <c r="H107" s="17">
        <f t="shared" si="11"/>
        <v>0</v>
      </c>
      <c r="I107" s="12">
        <f>IFERROR(VLOOKUP($B107,Súpravy!$A$6:$Q$31,9,FALSE),0)</f>
        <v>0</v>
      </c>
      <c r="J107" s="12">
        <f>IFERROR(VLOOKUP($B107,Súpravy!$A$6:$Q$31,12,FALSE),0)</f>
        <v>0</v>
      </c>
      <c r="K107" s="12">
        <f>IFERROR(VLOOKUP($B107,Súpravy!$A$6:$Q$31,17,FALSE),0)</f>
        <v>0</v>
      </c>
      <c r="L107" s="12">
        <f>IFERROR(VLOOKUP($B107,Súpravy!$A$6:$Q$31,18,FALSE),0)</f>
        <v>0</v>
      </c>
      <c r="M107" s="17">
        <f t="shared" si="13"/>
        <v>0</v>
      </c>
      <c r="N107" s="93">
        <f>IF(OR(C107=53.328,M107&lt;=80%),0,D107*(Ocenenie!$E$56*(M107)*(M107)*(M107)+Ocenenie!$E$57*(M107)*(M107)+Ocenenie!$E$58*(M107)-Ocenenie!$E$60))</f>
        <v>0</v>
      </c>
    </row>
    <row r="108" spans="1:14" x14ac:dyDescent="0.25">
      <c r="A108" s="1" t="str">
        <f>Grafikon!$B97</f>
        <v>Os 4330</v>
      </c>
      <c r="B108" s="199"/>
      <c r="C108" s="2">
        <f>Grafikon!$D97</f>
        <v>46.847000000000001</v>
      </c>
      <c r="D108" s="3">
        <f>Grafikon!$G97</f>
        <v>100</v>
      </c>
      <c r="E108" s="10">
        <f>IFERROR(VLOOKUP($B108,Súpravy!$A$6:$Q$31,6,FALSE),0)</f>
        <v>0</v>
      </c>
      <c r="F108" s="31">
        <f t="shared" si="12"/>
        <v>0</v>
      </c>
      <c r="G108" s="10">
        <f>IFERROR(VLOOKUP($B108,Súpravy!$A$6:$Q$31,3,FALSE),0)</f>
        <v>0</v>
      </c>
      <c r="H108" s="17">
        <f t="shared" si="11"/>
        <v>0</v>
      </c>
      <c r="I108" s="12">
        <f>IFERROR(VLOOKUP($B108,Súpravy!$A$6:$Q$31,9,FALSE),0)</f>
        <v>0</v>
      </c>
      <c r="J108" s="12">
        <f>IFERROR(VLOOKUP($B108,Súpravy!$A$6:$Q$31,12,FALSE),0)</f>
        <v>0</v>
      </c>
      <c r="K108" s="12">
        <f>IFERROR(VLOOKUP($B108,Súpravy!$A$6:$Q$31,17,FALSE),0)</f>
        <v>0</v>
      </c>
      <c r="L108" s="12">
        <f>IFERROR(VLOOKUP($B108,Súpravy!$A$6:$Q$31,18,FALSE),0)</f>
        <v>0</v>
      </c>
      <c r="M108" s="17">
        <f t="shared" si="13"/>
        <v>0</v>
      </c>
      <c r="N108" s="93">
        <f>IF(OR(C108=53.328,M108&lt;=80%),0,D108*(Ocenenie!$E$56*(M108)*(M108)*(M108)+Ocenenie!$E$57*(M108)*(M108)+Ocenenie!$E$58*(M108)-Ocenenie!$E$60))</f>
        <v>0</v>
      </c>
    </row>
    <row r="109" spans="1:14" x14ac:dyDescent="0.25">
      <c r="A109" s="1" t="str">
        <f>Grafikon!$B98</f>
        <v>Os 4380</v>
      </c>
      <c r="B109" s="199"/>
      <c r="C109" s="2">
        <f>Grafikon!$D98</f>
        <v>53.328000000000003</v>
      </c>
      <c r="D109" s="3">
        <f>Grafikon!$G98</f>
        <v>100</v>
      </c>
      <c r="E109" s="10">
        <f>IFERROR(VLOOKUP($B109,Súpravy!$A$6:$Q$31,6,FALSE),0)</f>
        <v>0</v>
      </c>
      <c r="F109" s="31">
        <f t="shared" si="12"/>
        <v>0</v>
      </c>
      <c r="G109" s="10">
        <f>IFERROR(VLOOKUP($B109,Súpravy!$A$6:$Q$31,3,FALSE),0)</f>
        <v>0</v>
      </c>
      <c r="H109" s="17">
        <f t="shared" si="11"/>
        <v>0</v>
      </c>
      <c r="I109" s="12">
        <f>IFERROR(VLOOKUP($B109,Súpravy!$A$6:$Q$31,9,FALSE),0)</f>
        <v>0</v>
      </c>
      <c r="J109" s="12">
        <f>IFERROR(VLOOKUP($B109,Súpravy!$A$6:$Q$31,12,FALSE),0)</f>
        <v>0</v>
      </c>
      <c r="K109" s="12">
        <f>IFERROR(VLOOKUP($B109,Súpravy!$A$6:$Q$31,17,FALSE),0)</f>
        <v>0</v>
      </c>
      <c r="L109" s="12">
        <f>IFERROR(VLOOKUP($B109,Súpravy!$A$6:$Q$31,18,FALSE),0)</f>
        <v>0</v>
      </c>
      <c r="M109" s="17">
        <f t="shared" si="13"/>
        <v>0</v>
      </c>
      <c r="N109" s="93">
        <f>IF(OR(C109=53.328,M109&lt;=80%),0,D109*(Ocenenie!$E$56*(M109)*(M109)*(M109)+Ocenenie!$E$57*(M109)*(M109)+Ocenenie!$E$58*(M109)-Ocenenie!$E$60))</f>
        <v>0</v>
      </c>
    </row>
    <row r="110" spans="1:14" x14ac:dyDescent="0.25">
      <c r="A110" s="1" t="str">
        <f>Grafikon!$B99</f>
        <v>Zr 1790</v>
      </c>
      <c r="B110" s="199"/>
      <c r="C110" s="2">
        <f>Grafikon!$D99</f>
        <v>46.847000000000001</v>
      </c>
      <c r="D110" s="3">
        <f>Grafikon!$G99</f>
        <v>100</v>
      </c>
      <c r="E110" s="10">
        <f>IFERROR(VLOOKUP($B110,Súpravy!$A$6:$Q$31,6,FALSE),0)</f>
        <v>0</v>
      </c>
      <c r="F110" s="31">
        <f t="shared" si="12"/>
        <v>0</v>
      </c>
      <c r="G110" s="10">
        <f>IFERROR(VLOOKUP($B110,Súpravy!$A$6:$Q$31,3,FALSE),0)</f>
        <v>0</v>
      </c>
      <c r="H110" s="17">
        <f t="shared" si="11"/>
        <v>0</v>
      </c>
      <c r="I110" s="12">
        <f>IFERROR(VLOOKUP($B110,Súpravy!$A$6:$Q$31,9,FALSE),0)</f>
        <v>0</v>
      </c>
      <c r="J110" s="12">
        <f>IFERROR(VLOOKUP($B110,Súpravy!$A$6:$Q$31,12,FALSE),0)</f>
        <v>0</v>
      </c>
      <c r="K110" s="12">
        <f>IFERROR(VLOOKUP($B110,Súpravy!$A$6:$Q$31,17,FALSE),0)</f>
        <v>0</v>
      </c>
      <c r="L110" s="12">
        <f>IFERROR(VLOOKUP($B110,Súpravy!$A$6:$Q$31,18,FALSE),0)</f>
        <v>0</v>
      </c>
      <c r="M110" s="17">
        <f t="shared" si="13"/>
        <v>0</v>
      </c>
      <c r="N110" s="93">
        <f>IF(OR(C110=53.328,M110&lt;=80%),0,D110*(Ocenenie!$E$56*(M110)*(M110)*(M110)+Ocenenie!$E$57*(M110)*(M110)+Ocenenie!$E$58*(M110)-Ocenenie!$E$60))</f>
        <v>0</v>
      </c>
    </row>
    <row r="111" spans="1:14" x14ac:dyDescent="0.25">
      <c r="A111" s="1" t="str">
        <f>Grafikon!$B100</f>
        <v>Os 4364</v>
      </c>
      <c r="B111" s="199"/>
      <c r="C111" s="2">
        <f>Grafikon!$D100</f>
        <v>26.718</v>
      </c>
      <c r="D111" s="3">
        <f>Grafikon!$G100</f>
        <v>100</v>
      </c>
      <c r="E111" s="10">
        <f>IFERROR(VLOOKUP($B111,Súpravy!$A$6:$Q$31,6,FALSE),0)</f>
        <v>0</v>
      </c>
      <c r="F111" s="31">
        <f t="shared" si="12"/>
        <v>0</v>
      </c>
      <c r="G111" s="10">
        <f>IFERROR(VLOOKUP($B111,Súpravy!$A$6:$Q$31,3,FALSE),0)</f>
        <v>0</v>
      </c>
      <c r="H111" s="17">
        <f t="shared" si="11"/>
        <v>0</v>
      </c>
      <c r="I111" s="12">
        <f>IFERROR(VLOOKUP($B111,Súpravy!$A$6:$Q$31,9,FALSE),0)</f>
        <v>0</v>
      </c>
      <c r="J111" s="12">
        <f>IFERROR(VLOOKUP($B111,Súpravy!$A$6:$Q$31,12,FALSE),0)</f>
        <v>0</v>
      </c>
      <c r="K111" s="12">
        <f>IFERROR(VLOOKUP($B111,Súpravy!$A$6:$Q$31,17,FALSE),0)</f>
        <v>0</v>
      </c>
      <c r="L111" s="12">
        <f>IFERROR(VLOOKUP($B111,Súpravy!$A$6:$Q$31,18,FALSE),0)</f>
        <v>0</v>
      </c>
      <c r="M111" s="17">
        <f t="shared" si="13"/>
        <v>0</v>
      </c>
      <c r="N111" s="93">
        <f>IF(OR(C111=53.328,M111&lt;=80%),0,D111*(Ocenenie!$E$56*(M111)*(M111)*(M111)+Ocenenie!$E$57*(M111)*(M111)+Ocenenie!$E$58*(M111)-Ocenenie!$E$60))</f>
        <v>0</v>
      </c>
    </row>
    <row r="112" spans="1:14" x14ac:dyDescent="0.25">
      <c r="A112" s="1" t="str">
        <f>Grafikon!$B101</f>
        <v>Os 4382</v>
      </c>
      <c r="B112" s="199"/>
      <c r="C112" s="2">
        <f>Grafikon!$D101</f>
        <v>53.328000000000003</v>
      </c>
      <c r="D112" s="3">
        <f>Grafikon!$G101</f>
        <v>100</v>
      </c>
      <c r="E112" s="10">
        <f>IFERROR(VLOOKUP($B112,Súpravy!$A$6:$Q$31,6,FALSE),0)</f>
        <v>0</v>
      </c>
      <c r="F112" s="31">
        <f t="shared" si="12"/>
        <v>0</v>
      </c>
      <c r="G112" s="10">
        <f>IFERROR(VLOOKUP($B112,Súpravy!$A$6:$Q$31,3,FALSE),0)</f>
        <v>0</v>
      </c>
      <c r="H112" s="17">
        <f t="shared" si="11"/>
        <v>0</v>
      </c>
      <c r="I112" s="12">
        <f>IFERROR(VLOOKUP($B112,Súpravy!$A$6:$Q$31,9,FALSE),0)</f>
        <v>0</v>
      </c>
      <c r="J112" s="12">
        <f>IFERROR(VLOOKUP($B112,Súpravy!$A$6:$Q$31,12,FALSE),0)</f>
        <v>0</v>
      </c>
      <c r="K112" s="12">
        <f>IFERROR(VLOOKUP($B112,Súpravy!$A$6:$Q$31,17,FALSE),0)</f>
        <v>0</v>
      </c>
      <c r="L112" s="12">
        <f>IFERROR(VLOOKUP($B112,Súpravy!$A$6:$Q$31,18,FALSE),0)</f>
        <v>0</v>
      </c>
      <c r="M112" s="17">
        <f t="shared" si="13"/>
        <v>0</v>
      </c>
      <c r="N112" s="93">
        <f>IF(OR(C112=53.328,M112&lt;=80%),0,D112*(Ocenenie!$E$56*(M112)*(M112)*(M112)+Ocenenie!$E$57*(M112)*(M112)+Ocenenie!$E$58*(M112)-Ocenenie!$E$60))</f>
        <v>0</v>
      </c>
    </row>
    <row r="113" spans="1:14" x14ac:dyDescent="0.25">
      <c r="A113" s="1" t="str">
        <f>Grafikon!$B102</f>
        <v>Os 4336</v>
      </c>
      <c r="B113" s="199"/>
      <c r="C113" s="2">
        <f>Grafikon!$D102</f>
        <v>46.847000000000001</v>
      </c>
      <c r="D113" s="3">
        <f>Grafikon!$G102</f>
        <v>100</v>
      </c>
      <c r="E113" s="10">
        <f>IFERROR(VLOOKUP($B113,Súpravy!$A$6:$Q$31,6,FALSE),0)</f>
        <v>0</v>
      </c>
      <c r="F113" s="31">
        <f t="shared" si="12"/>
        <v>0</v>
      </c>
      <c r="G113" s="10">
        <f>IFERROR(VLOOKUP($B113,Súpravy!$A$6:$Q$31,3,FALSE),0)</f>
        <v>0</v>
      </c>
      <c r="H113" s="17">
        <f t="shared" si="11"/>
        <v>0</v>
      </c>
      <c r="I113" s="12">
        <f>IFERROR(VLOOKUP($B113,Súpravy!$A$6:$Q$31,9,FALSE),0)</f>
        <v>0</v>
      </c>
      <c r="J113" s="12">
        <f>IFERROR(VLOOKUP($B113,Súpravy!$A$6:$Q$31,12,FALSE),0)</f>
        <v>0</v>
      </c>
      <c r="K113" s="12">
        <f>IFERROR(VLOOKUP($B113,Súpravy!$A$6:$Q$31,17,FALSE),0)</f>
        <v>0</v>
      </c>
      <c r="L113" s="12">
        <f>IFERROR(VLOOKUP($B113,Súpravy!$A$6:$Q$31,18,FALSE),0)</f>
        <v>0</v>
      </c>
      <c r="M113" s="17">
        <f t="shared" si="13"/>
        <v>0</v>
      </c>
      <c r="N113" s="93">
        <f>IF(OR(C113=53.328,M113&lt;=80%),0,D113*(Ocenenie!$E$56*(M113)*(M113)*(M113)+Ocenenie!$E$57*(M113)*(M113)+Ocenenie!$E$58*(M113)-Ocenenie!$E$60))</f>
        <v>0</v>
      </c>
    </row>
  </sheetData>
  <sheetProtection password="D97B" sheet="1" objects="1" scenarios="1"/>
  <mergeCells count="14">
    <mergeCell ref="G2:H2"/>
    <mergeCell ref="M2:N2"/>
    <mergeCell ref="C12:C13"/>
    <mergeCell ref="A12:A14"/>
    <mergeCell ref="B13:B14"/>
    <mergeCell ref="D12:D13"/>
    <mergeCell ref="M12:N12"/>
    <mergeCell ref="E12:F12"/>
    <mergeCell ref="G12:H12"/>
    <mergeCell ref="C2:D2"/>
    <mergeCell ref="C3:D3"/>
    <mergeCell ref="C4:C6"/>
    <mergeCell ref="C7:C9"/>
    <mergeCell ref="E2:F2"/>
  </mergeCells>
  <conditionalFormatting sqref="H15:H63 H65:H113">
    <cfRule type="cellIs" dxfId="67" priority="50" operator="lessThan">
      <formula>0.6</formula>
    </cfRule>
    <cfRule type="cellIs" dxfId="66" priority="51" operator="greaterThanOrEqual">
      <formula>0.6</formula>
    </cfRule>
  </conditionalFormatting>
  <conditionalFormatting sqref="M15:M63">
    <cfRule type="colorScale" priority="19">
      <colorScale>
        <cfvo type="num" val="0"/>
        <cfvo type="num" val="1"/>
        <cfvo type="num" val="1.7"/>
        <color rgb="FFC6EFCE"/>
        <color rgb="FFFFFFCC"/>
        <color rgb="FFFFC7CE"/>
      </colorScale>
    </cfRule>
  </conditionalFormatting>
  <conditionalFormatting sqref="M65:M113">
    <cfRule type="colorScale" priority="18">
      <colorScale>
        <cfvo type="num" val="0"/>
        <cfvo type="num" val="1"/>
        <cfvo type="num" val="1.7"/>
        <color rgb="FFC6EFCE"/>
        <color rgb="FFFFFFCC"/>
        <color rgb="FFFFC7CE"/>
      </colorScale>
    </cfRule>
  </conditionalFormatting>
  <conditionalFormatting sqref="N15:N63 N65:N113">
    <cfRule type="colorScale" priority="15">
      <colorScale>
        <cfvo type="num" val="0"/>
        <cfvo type="num" val="3"/>
        <cfvo type="num" val="225"/>
        <color rgb="FFC6EFCE"/>
        <color rgb="FFFFEB84"/>
        <color rgb="FFFFC7CE"/>
      </colorScale>
    </cfRule>
  </conditionalFormatting>
  <conditionalFormatting sqref="F15:F63">
    <cfRule type="cellIs" dxfId="65" priority="12" operator="lessThan">
      <formula>0.95</formula>
    </cfRule>
    <cfRule type="cellIs" dxfId="64" priority="13" operator="greaterThanOrEqual">
      <formula>1</formula>
    </cfRule>
    <cfRule type="cellIs" dxfId="63" priority="14" operator="between">
      <formula>0.95</formula>
      <formula>1</formula>
    </cfRule>
  </conditionalFormatting>
  <conditionalFormatting sqref="F65:F113">
    <cfRule type="cellIs" dxfId="62" priority="9" operator="lessThan">
      <formula>0.95</formula>
    </cfRule>
    <cfRule type="cellIs" dxfId="61" priority="10" operator="greaterThanOrEqual">
      <formula>1</formula>
    </cfRule>
    <cfRule type="cellIs" dxfId="60" priority="11" operator="between">
      <formula>0.95</formula>
      <formula>1</formula>
    </cfRule>
  </conditionalFormatting>
  <conditionalFormatting sqref="E6">
    <cfRule type="containsText" dxfId="59" priority="7" stopIfTrue="1" operator="containsText" text="49/">
      <formula>NOT(ISERROR(SEARCH("49/",E6)))</formula>
    </cfRule>
    <cfRule type="containsText" dxfId="58" priority="8" operator="containsText" text="/49">
      <formula>NOT(ISERROR(SEARCH("/49",E6)))</formula>
    </cfRule>
  </conditionalFormatting>
  <conditionalFormatting sqref="E9:E10">
    <cfRule type="containsText" dxfId="57" priority="5" stopIfTrue="1" operator="containsText" text="49/">
      <formula>NOT(ISERROR(SEARCH("49/",E9)))</formula>
    </cfRule>
    <cfRule type="containsText" dxfId="56" priority="6" operator="containsText" text="/49">
      <formula>NOT(ISERROR(SEARCH("/49",E9)))</formula>
    </cfRule>
  </conditionalFormatting>
  <conditionalFormatting sqref="G6">
    <cfRule type="containsText" dxfId="55" priority="3" stopIfTrue="1" operator="containsText" text="49/">
      <formula>NOT(ISERROR(SEARCH("49/",G6)))</formula>
    </cfRule>
    <cfRule type="containsText" dxfId="54" priority="4" operator="containsText" text="/49">
      <formula>NOT(ISERROR(SEARCH("/49",G6)))</formula>
    </cfRule>
  </conditionalFormatting>
  <conditionalFormatting sqref="G9:G10">
    <cfRule type="containsText" dxfId="53" priority="1" stopIfTrue="1" operator="containsText" text="49/">
      <formula>NOT(ISERROR(SEARCH("49/",G9)))</formula>
    </cfRule>
    <cfRule type="containsText" dxfId="52" priority="2" operator="containsText" text="/49">
      <formula>NOT(ISERROR(SEARCH("/49",G9)))</formula>
    </cfRule>
  </conditionalFormatting>
  <pageMargins left="0.23622047244094491" right="0.23622047244094491" top="0.74803149606299213" bottom="0.74803149606299213" header="0.31496062992125984" footer="0.31496062992125984"/>
  <pageSetup paperSize="8" fitToHeight="0" orientation="portrait" r:id="rId1"/>
  <rowBreaks count="1" manualBreakCount="1">
    <brk id="63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113"/>
  <sheetViews>
    <sheetView view="pageLayout" zoomScaleNormal="100" zoomScaleSheetLayoutView="100" workbookViewId="0">
      <selection activeCell="B15" sqref="B15"/>
    </sheetView>
  </sheetViews>
  <sheetFormatPr defaultColWidth="8.5703125" defaultRowHeight="15" x14ac:dyDescent="0.25"/>
  <cols>
    <col min="1" max="3" width="10.28515625" customWidth="1"/>
    <col min="4" max="10" width="13.28515625" customWidth="1"/>
    <col min="11" max="11" width="14.7109375" customWidth="1"/>
    <col min="12" max="12" width="14.42578125" hidden="1" customWidth="1"/>
    <col min="13" max="14" width="12.5703125" hidden="1" customWidth="1"/>
    <col min="15" max="15" width="1.7109375" customWidth="1"/>
  </cols>
  <sheetData>
    <row r="1" spans="1:14" ht="24.75" customHeight="1" x14ac:dyDescent="0.3">
      <c r="A1" s="127" t="s">
        <v>377</v>
      </c>
      <c r="D1" s="209">
        <f>Spoločnosť!$C$10</f>
        <v>0</v>
      </c>
      <c r="I1" s="24" t="s">
        <v>432</v>
      </c>
      <c r="J1" s="24" t="s">
        <v>475</v>
      </c>
    </row>
    <row r="2" spans="1:14" s="13" customFormat="1" ht="18.75" customHeight="1" x14ac:dyDescent="0.25">
      <c r="C2" s="248" t="s">
        <v>133</v>
      </c>
      <c r="D2" s="248"/>
      <c r="E2" s="244" t="s">
        <v>134</v>
      </c>
      <c r="F2" s="245"/>
      <c r="G2" s="244" t="s">
        <v>342</v>
      </c>
      <c r="H2" s="245"/>
      <c r="I2" s="21" t="s">
        <v>6</v>
      </c>
      <c r="J2" s="21" t="s">
        <v>10</v>
      </c>
      <c r="K2" s="21" t="s">
        <v>14</v>
      </c>
      <c r="L2" s="182" t="s">
        <v>12</v>
      </c>
      <c r="M2" s="244" t="s">
        <v>248</v>
      </c>
      <c r="N2" s="245"/>
    </row>
    <row r="3" spans="1:14" x14ac:dyDescent="0.25">
      <c r="C3" s="249" t="s">
        <v>428</v>
      </c>
      <c r="D3" s="249"/>
      <c r="E3" s="185" t="s">
        <v>430</v>
      </c>
      <c r="F3" s="184">
        <f>'Vyhodnotenie II+III'!D26</f>
        <v>0.95</v>
      </c>
      <c r="G3" s="185" t="s">
        <v>430</v>
      </c>
      <c r="H3" s="184">
        <f>'Vyhodnotenie II+III'!E26</f>
        <v>0.6</v>
      </c>
      <c r="I3" s="198">
        <f>'Vyhodnotenie II+III'!F26</f>
        <v>0.8</v>
      </c>
      <c r="J3" s="198">
        <f>'Vyhodnotenie II+III'!G26</f>
        <v>0.8</v>
      </c>
      <c r="K3" s="198">
        <f>'Vyhodnotenie II+III'!H26</f>
        <v>0.3</v>
      </c>
      <c r="L3" s="163"/>
      <c r="M3" s="162"/>
      <c r="N3" s="165"/>
    </row>
    <row r="4" spans="1:14" x14ac:dyDescent="0.25">
      <c r="A4" s="13" t="s">
        <v>135</v>
      </c>
      <c r="C4" s="250" t="s">
        <v>426</v>
      </c>
      <c r="D4" s="178" t="s">
        <v>142</v>
      </c>
      <c r="E4" s="178"/>
      <c r="F4" s="31">
        <f>SUM(F15:F63)/ROWS(F15:F63)</f>
        <v>0</v>
      </c>
      <c r="G4" s="1"/>
      <c r="H4" s="31">
        <f t="shared" ref="H4:K4" si="0">SUM(H15:H63)/ROWS(H15:H63)</f>
        <v>0</v>
      </c>
      <c r="I4" s="31">
        <f t="shared" si="0"/>
        <v>0</v>
      </c>
      <c r="J4" s="31">
        <f t="shared" si="0"/>
        <v>0</v>
      </c>
      <c r="K4" s="31">
        <f t="shared" si="0"/>
        <v>0</v>
      </c>
      <c r="L4" s="31">
        <f t="shared" ref="L4:M4" si="1">SUM(L15:L63)/ROWS(L15:L63)</f>
        <v>0</v>
      </c>
      <c r="M4" s="31">
        <f t="shared" si="1"/>
        <v>0</v>
      </c>
      <c r="N4" s="94">
        <f>SUM(N15:N63)</f>
        <v>0</v>
      </c>
    </row>
    <row r="5" spans="1:14" x14ac:dyDescent="0.25">
      <c r="A5" s="32"/>
      <c r="B5" s="32"/>
      <c r="C5" s="250"/>
      <c r="D5" s="2" t="s">
        <v>427</v>
      </c>
      <c r="E5" s="2"/>
      <c r="F5" s="33">
        <f>SUMPRODUCT(F15:F63,D15:D63)/SUM(D15:D63)</f>
        <v>0</v>
      </c>
      <c r="G5" s="164"/>
      <c r="H5" s="33">
        <f>SUMPRODUCT(H15:H63,D15:D63)/SUM(D15:D63)</f>
        <v>0</v>
      </c>
      <c r="I5" s="33">
        <f>SUMPRODUCT(I15:I63,D15:D63)/SUM(D15:D63)</f>
        <v>0</v>
      </c>
      <c r="J5" s="33">
        <f>SUMPRODUCT(J15:J63,D15:D63)/SUM(D15:D63)</f>
        <v>0</v>
      </c>
      <c r="K5" s="33">
        <f>SUMPRODUCT(K15:K63,D15:D63)/SUM(D15:D63)</f>
        <v>0</v>
      </c>
      <c r="L5" s="33">
        <f>SUMPRODUCT(L15:L63,D15:D63)/SUM(D15:D63)</f>
        <v>0</v>
      </c>
      <c r="M5" s="33">
        <f>SUMPRODUCT(M15:M63,D15:D63)/SUM(D15:D63)</f>
        <v>0</v>
      </c>
      <c r="N5" s="94">
        <f>SUM(N15:N63)</f>
        <v>0</v>
      </c>
    </row>
    <row r="6" spans="1:14" x14ac:dyDescent="0.25">
      <c r="C6" s="251"/>
      <c r="D6" s="1" t="s">
        <v>480</v>
      </c>
      <c r="E6" s="183" t="str">
        <f>COUNTIF(F15:F63,"&gt;=95%")&amp;"/"&amp;ROWS(F15:F63)&amp;" vlakov"</f>
        <v>0/49 vlakov</v>
      </c>
      <c r="F6" s="31">
        <f>SUMPRODUCT(F15:F63,D15:D63,C15:C63)/SUMPRODUCT(D15:D63,C15:C63)</f>
        <v>0</v>
      </c>
      <c r="G6" s="183" t="str">
        <f>COUNTIF(H15:H63,"&gt;=60%")&amp;"/"&amp;ROWS(H15:H63)&amp;" vlakov"</f>
        <v>0/49 vlakov</v>
      </c>
      <c r="H6" s="31">
        <f>SUMPRODUCT(H15:H63,D15:D63,C15:C63)/SUMPRODUCT(D15:D63,C15:C63)</f>
        <v>0</v>
      </c>
      <c r="I6" s="31">
        <f>SUMPRODUCT(I15:I63,D15:D63,C15:C63)/SUMPRODUCT(D15:D63,C15:C63)</f>
        <v>0</v>
      </c>
      <c r="J6" s="31">
        <f>SUMPRODUCT(J15:J63,D15:D63,C15:C63)/SUMPRODUCT(D15:D63,C15:C63)</f>
        <v>0</v>
      </c>
      <c r="K6" s="31">
        <f>SUMPRODUCT(K15:K63,D15:D63,C15:C63)/SUMPRODUCT(D15:D63,C15:C63)</f>
        <v>0</v>
      </c>
      <c r="L6" s="31">
        <f>SUMPRODUCT(L15:L63,D15:D63,C15:C63)/SUMPRODUCT(D15:D63,C15:C63)</f>
        <v>0</v>
      </c>
      <c r="M6" s="31">
        <f>SUMPRODUCT(M15:M63,D15:D63,C15:C63)/SUMPRODUCT(D15:D63,C15:C63)</f>
        <v>0</v>
      </c>
      <c r="N6" s="94">
        <f>SUM(N15:N63)</f>
        <v>0</v>
      </c>
    </row>
    <row r="7" spans="1:14" x14ac:dyDescent="0.25">
      <c r="A7" s="180" t="s">
        <v>136</v>
      </c>
      <c r="C7" s="250" t="s">
        <v>426</v>
      </c>
      <c r="D7" s="178" t="s">
        <v>142</v>
      </c>
      <c r="E7" s="178"/>
      <c r="F7" s="31">
        <f>SUM(F65:F113)/ROWS(F65:F113)</f>
        <v>0</v>
      </c>
      <c r="G7" s="1"/>
      <c r="H7" s="31">
        <f t="shared" ref="H7:K7" si="2">SUM(H65:H113)/ROWS(H65:H113)</f>
        <v>0</v>
      </c>
      <c r="I7" s="31">
        <f t="shared" si="2"/>
        <v>0</v>
      </c>
      <c r="J7" s="31">
        <f t="shared" si="2"/>
        <v>0</v>
      </c>
      <c r="K7" s="31">
        <f t="shared" si="2"/>
        <v>0</v>
      </c>
      <c r="L7" s="31">
        <f t="shared" ref="L7:M7" si="3">SUM(L65:L113)/ROWS(L65:L113)</f>
        <v>0</v>
      </c>
      <c r="M7" s="31">
        <f t="shared" si="3"/>
        <v>0</v>
      </c>
      <c r="N7" s="94">
        <f>SUM(N65:N113)</f>
        <v>0</v>
      </c>
    </row>
    <row r="8" spans="1:14" x14ac:dyDescent="0.25">
      <c r="A8" s="32"/>
      <c r="B8" s="32"/>
      <c r="C8" s="250"/>
      <c r="D8" s="2" t="s">
        <v>427</v>
      </c>
      <c r="E8" s="2"/>
      <c r="F8" s="33">
        <f>SUMPRODUCT(F65:F113,D65:D113)/SUM(D65:D113)</f>
        <v>0</v>
      </c>
      <c r="G8" s="164"/>
      <c r="H8" s="33">
        <f>SUMPRODUCT(H65:H113,D65:D113)/SUM(D65:D113)</f>
        <v>0</v>
      </c>
      <c r="I8" s="33">
        <f>SUMPRODUCT(I65:I113,D65:D113)/SUM(D65:D113)</f>
        <v>0</v>
      </c>
      <c r="J8" s="33">
        <f>SUMPRODUCT(J65:J113,D65:D113)/SUM(D65:D113)</f>
        <v>0</v>
      </c>
      <c r="K8" s="33">
        <f>SUMPRODUCT(K65:K113,D65:D113)/SUM(D65:D113)</f>
        <v>0</v>
      </c>
      <c r="L8" s="33">
        <f>SUMPRODUCT(L65:L113,D65:D113)/SUM(D65:D113)</f>
        <v>0</v>
      </c>
      <c r="M8" s="33">
        <f>SUMPRODUCT(M65:M113,D65:D113)/SUM(D65:D113)</f>
        <v>0</v>
      </c>
      <c r="N8" s="94">
        <f>SUM(N65:N113)</f>
        <v>0</v>
      </c>
    </row>
    <row r="9" spans="1:14" x14ac:dyDescent="0.25">
      <c r="C9" s="251"/>
      <c r="D9" s="1" t="s">
        <v>480</v>
      </c>
      <c r="E9" s="183" t="str">
        <f>COUNTIF(F65:F113,"&gt;=95%")&amp;"/"&amp;ROWS(F65:F113)&amp;" vlakov"</f>
        <v>0/49 vlakov</v>
      </c>
      <c r="F9" s="31">
        <f>SUMPRODUCT(F65:F113,D65:D113,C65:C113)/SUMPRODUCT(D65:D113,C65:C113)</f>
        <v>0</v>
      </c>
      <c r="G9" s="183" t="str">
        <f>COUNTIF(H65:H113,"&gt;=60%")&amp;"/"&amp;ROWS(H65:H113)&amp;" vlakov"</f>
        <v>0/49 vlakov</v>
      </c>
      <c r="H9" s="31">
        <f>SUMPRODUCT(H65:H113,D65:D113,C65:C113)/SUMPRODUCT(D65:D113,C65:C113)</f>
        <v>0</v>
      </c>
      <c r="I9" s="31">
        <f>SUMPRODUCT(I65:I113,D65:D113,C65:C113)/SUMPRODUCT(D65:D113,C65:C113)</f>
        <v>0</v>
      </c>
      <c r="J9" s="31">
        <f>SUMPRODUCT(J65:J113,D65:D113,C65:C113)/SUMPRODUCT(D65:D113,C65:C113)</f>
        <v>0</v>
      </c>
      <c r="K9" s="31">
        <f>SUMPRODUCT(K65:K113,D65:D113,C65:C113)/SUMPRODUCT(D65:D113,C65:C113)</f>
        <v>0</v>
      </c>
      <c r="L9" s="31">
        <f>SUMPRODUCT(L65:L113,D65:D113,C65:C113)/SUMPRODUCT(D65:D113,C65:C113)</f>
        <v>0</v>
      </c>
      <c r="M9" s="31">
        <f>SUMPRODUCT(M65:M113,D65:D113,C65:C113)/SUMPRODUCT(D65:D113,C65:C113)</f>
        <v>0</v>
      </c>
      <c r="N9" s="94">
        <f>SUM(N65:N113)</f>
        <v>0</v>
      </c>
    </row>
    <row r="10" spans="1:14" ht="22.5" customHeight="1" x14ac:dyDescent="0.25">
      <c r="A10" s="179" t="s">
        <v>431</v>
      </c>
      <c r="B10" t="s">
        <v>434</v>
      </c>
      <c r="C10" s="186"/>
      <c r="D10" s="30"/>
      <c r="E10" s="187"/>
      <c r="F10" s="188"/>
      <c r="G10" s="187"/>
      <c r="H10" s="188"/>
      <c r="I10" s="188"/>
      <c r="J10" s="188"/>
      <c r="K10" s="188"/>
      <c r="L10" s="188"/>
      <c r="M10" s="188"/>
      <c r="N10" s="189"/>
    </row>
    <row r="11" spans="1:14" ht="18" customHeight="1" x14ac:dyDescent="0.25">
      <c r="A11" s="13" t="s">
        <v>135</v>
      </c>
    </row>
    <row r="12" spans="1:14" x14ac:dyDescent="0.25">
      <c r="A12" s="233" t="s">
        <v>15</v>
      </c>
      <c r="B12" s="1" t="s">
        <v>16</v>
      </c>
      <c r="C12" s="246" t="s">
        <v>23</v>
      </c>
      <c r="D12" s="226" t="s">
        <v>153</v>
      </c>
      <c r="E12" s="231" t="s">
        <v>17</v>
      </c>
      <c r="F12" s="236"/>
      <c r="G12" s="233" t="s">
        <v>342</v>
      </c>
      <c r="H12" s="233"/>
      <c r="I12" s="7" t="s">
        <v>6</v>
      </c>
      <c r="J12" s="7" t="s">
        <v>10</v>
      </c>
      <c r="K12" s="3" t="s">
        <v>14</v>
      </c>
      <c r="L12" s="3" t="s">
        <v>12</v>
      </c>
      <c r="M12" s="231" t="s">
        <v>248</v>
      </c>
      <c r="N12" s="232"/>
    </row>
    <row r="13" spans="1:14" ht="15" customHeight="1" x14ac:dyDescent="0.25">
      <c r="A13" s="233"/>
      <c r="B13" s="226" t="s">
        <v>0</v>
      </c>
      <c r="C13" s="247"/>
      <c r="D13" s="226"/>
      <c r="E13" s="3" t="s">
        <v>8</v>
      </c>
      <c r="F13" s="3" t="s">
        <v>152</v>
      </c>
      <c r="G13" s="101" t="s">
        <v>344</v>
      </c>
      <c r="H13" s="101" t="s">
        <v>19</v>
      </c>
      <c r="I13" s="5" t="s">
        <v>345</v>
      </c>
      <c r="J13" s="4" t="s">
        <v>21</v>
      </c>
      <c r="K13" s="4" t="s">
        <v>156</v>
      </c>
      <c r="L13" s="5" t="s">
        <v>261</v>
      </c>
      <c r="M13" s="3" t="s">
        <v>257</v>
      </c>
      <c r="N13" s="3" t="s">
        <v>316</v>
      </c>
    </row>
    <row r="14" spans="1:14" x14ac:dyDescent="0.25">
      <c r="A14" s="233"/>
      <c r="B14" s="226"/>
      <c r="C14" s="6" t="s">
        <v>22</v>
      </c>
      <c r="D14" s="3" t="s">
        <v>155</v>
      </c>
      <c r="E14" s="3" t="s">
        <v>20</v>
      </c>
      <c r="F14" s="4" t="s">
        <v>151</v>
      </c>
      <c r="G14" s="101" t="s">
        <v>343</v>
      </c>
      <c r="H14" s="101" t="s">
        <v>18</v>
      </c>
      <c r="I14" s="5" t="s">
        <v>346</v>
      </c>
      <c r="J14" s="4" t="s">
        <v>347</v>
      </c>
      <c r="K14" s="11" t="s">
        <v>132</v>
      </c>
      <c r="L14" s="11" t="s">
        <v>279</v>
      </c>
      <c r="M14" s="3" t="s">
        <v>256</v>
      </c>
      <c r="N14" s="3" t="s">
        <v>317</v>
      </c>
    </row>
    <row r="15" spans="1:14" x14ac:dyDescent="0.25">
      <c r="A15" s="1" t="str">
        <f>Grafikon!$B4</f>
        <v>Os 4371</v>
      </c>
      <c r="B15" s="199"/>
      <c r="C15" s="2">
        <f>Grafikon!$D4</f>
        <v>53.328000000000003</v>
      </c>
      <c r="D15" s="3">
        <f>Grafikon!$H4</f>
        <v>200</v>
      </c>
      <c r="E15" s="10">
        <f>IFERROR(VLOOKUP($B15,Súpravy!$A$6:$Q$31,6,FALSE),0)</f>
        <v>0</v>
      </c>
      <c r="F15" s="31">
        <f t="shared" ref="F15:F46" si="4">MIN(E15/D15,1)</f>
        <v>0</v>
      </c>
      <c r="G15" s="10">
        <f>IFERROR(VLOOKUP($B15,Súpravy!$A$6:$Q$31,3,FALSE),0)</f>
        <v>0</v>
      </c>
      <c r="H15" s="17">
        <f>IFERROR(MIN(G15/D15,1),0)</f>
        <v>0</v>
      </c>
      <c r="I15" s="12">
        <f>IFERROR(VLOOKUP($B15,Súpravy!$A$6:$Q$31,9,FALSE),0)</f>
        <v>0</v>
      </c>
      <c r="J15" s="12">
        <f>IFERROR(VLOOKUP($B15,Súpravy!$A$6:$Q$31,12,FALSE),0)</f>
        <v>0</v>
      </c>
      <c r="K15" s="12">
        <f>IFERROR(VLOOKUP($B15,Súpravy!$A$6:$Q$31,17,FALSE),0)</f>
        <v>0</v>
      </c>
      <c r="L15" s="12">
        <f>IFERROR(VLOOKUP($B15,Súpravy!$A$6:$Q$31,18,FALSE),0)</f>
        <v>0</v>
      </c>
      <c r="M15" s="17">
        <f t="shared" ref="M15:M46" si="5">IFERROR(D15/G15,0)</f>
        <v>0</v>
      </c>
      <c r="N15" s="93">
        <f>IF(OR(C15=53.328,M15&lt;=80%),0,D15*(Ocenenie!$E$56*(M15)*(M15)*(M15)+Ocenenie!$E$57*(M15)*(M15)+Ocenenie!$E$58*(M15)-Ocenenie!$E$60))</f>
        <v>0</v>
      </c>
    </row>
    <row r="16" spans="1:14" x14ac:dyDescent="0.25">
      <c r="A16" s="1" t="str">
        <f>Grafikon!$B5</f>
        <v>Os 4341</v>
      </c>
      <c r="B16" s="199"/>
      <c r="C16" s="2">
        <f>Grafikon!$D5</f>
        <v>26.718</v>
      </c>
      <c r="D16" s="3">
        <f>Grafikon!$H5</f>
        <v>100</v>
      </c>
      <c r="E16" s="10">
        <f>IFERROR(VLOOKUP($B16,Súpravy!$A$6:$Q$31,6,FALSE),0)</f>
        <v>0</v>
      </c>
      <c r="F16" s="31">
        <f t="shared" si="4"/>
        <v>0</v>
      </c>
      <c r="G16" s="10">
        <f>IFERROR(VLOOKUP($B16,Súpravy!$A$6:$Q$31,3,FALSE),0)</f>
        <v>0</v>
      </c>
      <c r="H16" s="17">
        <f t="shared" ref="H16:H79" si="6">IFERROR(MIN(G16/D16,1),0)</f>
        <v>0</v>
      </c>
      <c r="I16" s="12">
        <f>IFERROR(VLOOKUP($B16,Súpravy!$A$6:$Q$31,9,FALSE),0)</f>
        <v>0</v>
      </c>
      <c r="J16" s="12">
        <f>IFERROR(VLOOKUP($B16,Súpravy!$A$6:$Q$31,12,FALSE),0)</f>
        <v>0</v>
      </c>
      <c r="K16" s="12">
        <f>IFERROR(VLOOKUP($B16,Súpravy!$A$6:$Q$31,17,FALSE),0)</f>
        <v>0</v>
      </c>
      <c r="L16" s="12">
        <f>IFERROR(VLOOKUP($B16,Súpravy!$A$6:$Q$31,18,FALSE),0)</f>
        <v>0</v>
      </c>
      <c r="M16" s="17">
        <f t="shared" si="5"/>
        <v>0</v>
      </c>
      <c r="N16" s="93">
        <f>IF(OR(C16=53.328,M16&lt;=80%),0,D16*(Ocenenie!$E$56*(M16)*(M16)*(M16)+Ocenenie!$E$57*(M16)*(M16)+Ocenenie!$E$58*(M16)-Ocenenie!$E$60))</f>
        <v>0</v>
      </c>
    </row>
    <row r="17" spans="1:14" x14ac:dyDescent="0.25">
      <c r="A17" s="1" t="str">
        <f>Grafikon!$B6</f>
        <v>Os 4375</v>
      </c>
      <c r="B17" s="199"/>
      <c r="C17" s="2">
        <f>Grafikon!$D6</f>
        <v>53.328000000000003</v>
      </c>
      <c r="D17" s="3">
        <f>Grafikon!$H6</f>
        <v>100</v>
      </c>
      <c r="E17" s="10">
        <f>IFERROR(VLOOKUP($B17,Súpravy!$A$6:$Q$31,6,FALSE),0)</f>
        <v>0</v>
      </c>
      <c r="F17" s="31">
        <f t="shared" si="4"/>
        <v>0</v>
      </c>
      <c r="G17" s="10">
        <f>IFERROR(VLOOKUP($B17,Súpravy!$A$6:$Q$31,3,FALSE),0)</f>
        <v>0</v>
      </c>
      <c r="H17" s="17">
        <f t="shared" si="6"/>
        <v>0</v>
      </c>
      <c r="I17" s="12">
        <f>IFERROR(VLOOKUP($B17,Súpravy!$A$6:$Q$31,9,FALSE),0)</f>
        <v>0</v>
      </c>
      <c r="J17" s="12">
        <f>IFERROR(VLOOKUP($B17,Súpravy!$A$6:$Q$31,12,FALSE),0)</f>
        <v>0</v>
      </c>
      <c r="K17" s="12">
        <f>IFERROR(VLOOKUP($B17,Súpravy!$A$6:$Q$31,17,FALSE),0)</f>
        <v>0</v>
      </c>
      <c r="L17" s="12">
        <f>IFERROR(VLOOKUP($B17,Súpravy!$A$6:$Q$31,18,FALSE),0)</f>
        <v>0</v>
      </c>
      <c r="M17" s="17">
        <f t="shared" si="5"/>
        <v>0</v>
      </c>
      <c r="N17" s="93">
        <f>IF(OR(C17=53.328,M17&lt;=80%),0,D17*(Ocenenie!$E$56*(M17)*(M17)*(M17)+Ocenenie!$E$57*(M17)*(M17)+Ocenenie!$E$58*(M17)-Ocenenie!$E$60))</f>
        <v>0</v>
      </c>
    </row>
    <row r="18" spans="1:14" x14ac:dyDescent="0.25">
      <c r="A18" s="1" t="str">
        <f>Grafikon!$B7</f>
        <v>Os 4343</v>
      </c>
      <c r="B18" s="199"/>
      <c r="C18" s="2">
        <f>Grafikon!$D7</f>
        <v>26.718</v>
      </c>
      <c r="D18" s="3">
        <f>Grafikon!$H7</f>
        <v>100</v>
      </c>
      <c r="E18" s="10">
        <f>IFERROR(VLOOKUP($B18,Súpravy!$A$6:$Q$31,6,FALSE),0)</f>
        <v>0</v>
      </c>
      <c r="F18" s="31">
        <f t="shared" si="4"/>
        <v>0</v>
      </c>
      <c r="G18" s="10">
        <f>IFERROR(VLOOKUP($B18,Súpravy!$A$6:$Q$31,3,FALSE),0)</f>
        <v>0</v>
      </c>
      <c r="H18" s="17">
        <f t="shared" si="6"/>
        <v>0</v>
      </c>
      <c r="I18" s="12">
        <f>IFERROR(VLOOKUP($B18,Súpravy!$A$6:$Q$31,9,FALSE),0)</f>
        <v>0</v>
      </c>
      <c r="J18" s="12">
        <f>IFERROR(VLOOKUP($B18,Súpravy!$A$6:$Q$31,12,FALSE),0)</f>
        <v>0</v>
      </c>
      <c r="K18" s="12">
        <f>IFERROR(VLOOKUP($B18,Súpravy!$A$6:$Q$31,17,FALSE),0)</f>
        <v>0</v>
      </c>
      <c r="L18" s="12">
        <f>IFERROR(VLOOKUP($B18,Súpravy!$A$6:$Q$31,18,FALSE),0)</f>
        <v>0</v>
      </c>
      <c r="M18" s="17">
        <f t="shared" si="5"/>
        <v>0</v>
      </c>
      <c r="N18" s="93">
        <f>IF(OR(C18=53.328,M18&lt;=80%),0,D18*(Ocenenie!$E$56*(M18)*(M18)*(M18)+Ocenenie!$E$57*(M18)*(M18)+Ocenenie!$E$58*(M18)-Ocenenie!$E$60))</f>
        <v>0</v>
      </c>
    </row>
    <row r="19" spans="1:14" x14ac:dyDescent="0.25">
      <c r="A19" s="1" t="str">
        <f>Grafikon!$B8</f>
        <v>Os 4301</v>
      </c>
      <c r="B19" s="199"/>
      <c r="C19" s="2">
        <f>Grafikon!$D8</f>
        <v>46.847000000000001</v>
      </c>
      <c r="D19" s="3">
        <f>Grafikon!$H8</f>
        <v>100</v>
      </c>
      <c r="E19" s="10">
        <f>IFERROR(VLOOKUP($B19,Súpravy!$A$6:$Q$31,6,FALSE),0)</f>
        <v>0</v>
      </c>
      <c r="F19" s="31">
        <f t="shared" si="4"/>
        <v>0</v>
      </c>
      <c r="G19" s="10">
        <f>IFERROR(VLOOKUP($B19,Súpravy!$A$6:$Q$31,3,FALSE),0)</f>
        <v>0</v>
      </c>
      <c r="H19" s="17">
        <f t="shared" si="6"/>
        <v>0</v>
      </c>
      <c r="I19" s="12">
        <f>IFERROR(VLOOKUP($B19,Súpravy!$A$6:$Q$31,9,FALSE),0)</f>
        <v>0</v>
      </c>
      <c r="J19" s="12">
        <f>IFERROR(VLOOKUP($B19,Súpravy!$A$6:$Q$31,12,FALSE),0)</f>
        <v>0</v>
      </c>
      <c r="K19" s="12">
        <f>IFERROR(VLOOKUP($B19,Súpravy!$A$6:$Q$31,17,FALSE),0)</f>
        <v>0</v>
      </c>
      <c r="L19" s="12">
        <f>IFERROR(VLOOKUP($B19,Súpravy!$A$6:$Q$31,18,FALSE),0)</f>
        <v>0</v>
      </c>
      <c r="M19" s="17">
        <f t="shared" si="5"/>
        <v>0</v>
      </c>
      <c r="N19" s="93">
        <f>IF(OR(C19=53.328,M19&lt;=80%),0,D19*(Ocenenie!$E$56*(M19)*(M19)*(M19)+Ocenenie!$E$57*(M19)*(M19)+Ocenenie!$E$58*(M19)-Ocenenie!$E$60))</f>
        <v>0</v>
      </c>
    </row>
    <row r="20" spans="1:14" x14ac:dyDescent="0.25">
      <c r="A20" s="1" t="str">
        <f>Grafikon!$B9</f>
        <v>Os 4377</v>
      </c>
      <c r="B20" s="199"/>
      <c r="C20" s="2">
        <f>Grafikon!$D9</f>
        <v>53.328000000000003</v>
      </c>
      <c r="D20" s="3">
        <f>Grafikon!$H9</f>
        <v>200</v>
      </c>
      <c r="E20" s="10">
        <f>IFERROR(VLOOKUP($B20,Súpravy!$A$6:$Q$31,6,FALSE),0)</f>
        <v>0</v>
      </c>
      <c r="F20" s="31">
        <f t="shared" si="4"/>
        <v>0</v>
      </c>
      <c r="G20" s="10">
        <f>IFERROR(VLOOKUP($B20,Súpravy!$A$6:$Q$31,3,FALSE),0)</f>
        <v>0</v>
      </c>
      <c r="H20" s="17">
        <f t="shared" si="6"/>
        <v>0</v>
      </c>
      <c r="I20" s="12">
        <f>IFERROR(VLOOKUP($B20,Súpravy!$A$6:$Q$31,9,FALSE),0)</f>
        <v>0</v>
      </c>
      <c r="J20" s="12">
        <f>IFERROR(VLOOKUP($B20,Súpravy!$A$6:$Q$31,12,FALSE),0)</f>
        <v>0</v>
      </c>
      <c r="K20" s="12">
        <f>IFERROR(VLOOKUP($B20,Súpravy!$A$6:$Q$31,17,FALSE),0)</f>
        <v>0</v>
      </c>
      <c r="L20" s="12">
        <f>IFERROR(VLOOKUP($B20,Súpravy!$A$6:$Q$31,18,FALSE),0)</f>
        <v>0</v>
      </c>
      <c r="M20" s="17">
        <f t="shared" si="5"/>
        <v>0</v>
      </c>
      <c r="N20" s="93">
        <f>IF(OR(C20=53.328,M20&lt;=80%),0,D20*(Ocenenie!$E$56*(M20)*(M20)*(M20)+Ocenenie!$E$57*(M20)*(M20)+Ocenenie!$E$58*(M20)-Ocenenie!$E$60))</f>
        <v>0</v>
      </c>
    </row>
    <row r="21" spans="1:14" x14ac:dyDescent="0.25">
      <c r="A21" s="1" t="str">
        <f>Grafikon!$B10</f>
        <v>Os 4391</v>
      </c>
      <c r="B21" s="199"/>
      <c r="C21" s="2">
        <f>Grafikon!$D10</f>
        <v>26.718</v>
      </c>
      <c r="D21" s="3">
        <f>Grafikon!$H10</f>
        <v>100</v>
      </c>
      <c r="E21" s="10">
        <f>IFERROR(VLOOKUP($B21,Súpravy!$A$6:$Q$31,6,FALSE),0)</f>
        <v>0</v>
      </c>
      <c r="F21" s="31">
        <f t="shared" si="4"/>
        <v>0</v>
      </c>
      <c r="G21" s="10">
        <f>IFERROR(VLOOKUP($B21,Súpravy!$A$6:$Q$31,3,FALSE),0)</f>
        <v>0</v>
      </c>
      <c r="H21" s="17">
        <f t="shared" si="6"/>
        <v>0</v>
      </c>
      <c r="I21" s="12">
        <f>IFERROR(VLOOKUP($B21,Súpravy!$A$6:$Q$31,9,FALSE),0)</f>
        <v>0</v>
      </c>
      <c r="J21" s="12">
        <f>IFERROR(VLOOKUP($B21,Súpravy!$A$6:$Q$31,12,FALSE),0)</f>
        <v>0</v>
      </c>
      <c r="K21" s="12">
        <f>IFERROR(VLOOKUP($B21,Súpravy!$A$6:$Q$31,17,FALSE),0)</f>
        <v>0</v>
      </c>
      <c r="L21" s="12">
        <f>IFERROR(VLOOKUP($B21,Súpravy!$A$6:$Q$31,18,FALSE),0)</f>
        <v>0</v>
      </c>
      <c r="M21" s="17">
        <f t="shared" si="5"/>
        <v>0</v>
      </c>
      <c r="N21" s="93">
        <f>IF(OR(C21=53.328,M21&lt;=80%),0,D21*(Ocenenie!$E$56*(M21)*(M21)*(M21)+Ocenenie!$E$57*(M21)*(M21)+Ocenenie!$E$58*(M21)-Ocenenie!$E$60))</f>
        <v>0</v>
      </c>
    </row>
    <row r="22" spans="1:14" x14ac:dyDescent="0.25">
      <c r="A22" s="1" t="str">
        <f>Grafikon!$B11</f>
        <v>Os 4345</v>
      </c>
      <c r="B22" s="199"/>
      <c r="C22" s="2">
        <f>Grafikon!$D11</f>
        <v>26.718</v>
      </c>
      <c r="D22" s="3">
        <f>Grafikon!$H11</f>
        <v>100</v>
      </c>
      <c r="E22" s="10">
        <f>IFERROR(VLOOKUP($B22,Súpravy!$A$6:$Q$31,6,FALSE),0)</f>
        <v>0</v>
      </c>
      <c r="F22" s="31">
        <f t="shared" si="4"/>
        <v>0</v>
      </c>
      <c r="G22" s="10">
        <f>IFERROR(VLOOKUP($B22,Súpravy!$A$6:$Q$31,3,FALSE),0)</f>
        <v>0</v>
      </c>
      <c r="H22" s="17">
        <f t="shared" si="6"/>
        <v>0</v>
      </c>
      <c r="I22" s="12">
        <f>IFERROR(VLOOKUP($B22,Súpravy!$A$6:$Q$31,9,FALSE),0)</f>
        <v>0</v>
      </c>
      <c r="J22" s="12">
        <f>IFERROR(VLOOKUP($B22,Súpravy!$A$6:$Q$31,12,FALSE),0)</f>
        <v>0</v>
      </c>
      <c r="K22" s="12">
        <f>IFERROR(VLOOKUP($B22,Súpravy!$A$6:$Q$31,17,FALSE),0)</f>
        <v>0</v>
      </c>
      <c r="L22" s="12">
        <f>IFERROR(VLOOKUP($B22,Súpravy!$A$6:$Q$31,18,FALSE),0)</f>
        <v>0</v>
      </c>
      <c r="M22" s="17">
        <f t="shared" si="5"/>
        <v>0</v>
      </c>
      <c r="N22" s="93">
        <f>IF(OR(C22=53.328,M22&lt;=80%),0,D22*(Ocenenie!$E$56*(M22)*(M22)*(M22)+Ocenenie!$E$57*(M22)*(M22)+Ocenenie!$E$58*(M22)-Ocenenie!$E$60))</f>
        <v>0</v>
      </c>
    </row>
    <row r="23" spans="1:14" x14ac:dyDescent="0.25">
      <c r="A23" s="1" t="str">
        <f>Grafikon!$B12</f>
        <v>Zr 1761</v>
      </c>
      <c r="B23" s="199"/>
      <c r="C23" s="2">
        <f>Grafikon!$D12</f>
        <v>100.175</v>
      </c>
      <c r="D23" s="3">
        <f>Grafikon!$H12</f>
        <v>100</v>
      </c>
      <c r="E23" s="10">
        <f>IFERROR(VLOOKUP($B23,Súpravy!$A$6:$Q$31,6,FALSE),0)</f>
        <v>0</v>
      </c>
      <c r="F23" s="31">
        <f t="shared" si="4"/>
        <v>0</v>
      </c>
      <c r="G23" s="10">
        <f>IFERROR(VLOOKUP($B23,Súpravy!$A$6:$Q$31,3,FALSE),0)</f>
        <v>0</v>
      </c>
      <c r="H23" s="17">
        <f t="shared" si="6"/>
        <v>0</v>
      </c>
      <c r="I23" s="12">
        <f>IFERROR(VLOOKUP($B23,Súpravy!$A$6:$Q$31,9,FALSE),0)</f>
        <v>0</v>
      </c>
      <c r="J23" s="12">
        <f>IFERROR(VLOOKUP($B23,Súpravy!$A$6:$Q$31,12,FALSE),0)</f>
        <v>0</v>
      </c>
      <c r="K23" s="12">
        <f>IFERROR(VLOOKUP($B23,Súpravy!$A$6:$Q$31,17,FALSE),0)</f>
        <v>0</v>
      </c>
      <c r="L23" s="12">
        <f>IFERROR(VLOOKUP($B23,Súpravy!$A$6:$Q$31,18,FALSE),0)</f>
        <v>0</v>
      </c>
      <c r="M23" s="17">
        <f t="shared" si="5"/>
        <v>0</v>
      </c>
      <c r="N23" s="93">
        <f>IF(OR(C23=53.328,M23&lt;=80%),0,D23*(Ocenenie!$E$56*(M23)*(M23)*(M23)+Ocenenie!$E$57*(M23)*(M23)+Ocenenie!$E$58*(M23)-Ocenenie!$E$60))</f>
        <v>0</v>
      </c>
    </row>
    <row r="24" spans="1:14" x14ac:dyDescent="0.25">
      <c r="A24" s="1" t="str">
        <f>Grafikon!$B13</f>
        <v>Os 4303</v>
      </c>
      <c r="B24" s="199"/>
      <c r="C24" s="2">
        <f>Grafikon!$D13</f>
        <v>46.847000000000001</v>
      </c>
      <c r="D24" s="3">
        <f>Grafikon!$H13</f>
        <v>200</v>
      </c>
      <c r="E24" s="10">
        <f>IFERROR(VLOOKUP($B24,Súpravy!$A$6:$Q$31,6,FALSE),0)</f>
        <v>0</v>
      </c>
      <c r="F24" s="31">
        <f t="shared" si="4"/>
        <v>0</v>
      </c>
      <c r="G24" s="10">
        <f>IFERROR(VLOOKUP($B24,Súpravy!$A$6:$Q$31,3,FALSE),0)</f>
        <v>0</v>
      </c>
      <c r="H24" s="17">
        <f t="shared" si="6"/>
        <v>0</v>
      </c>
      <c r="I24" s="12">
        <f>IFERROR(VLOOKUP($B24,Súpravy!$A$6:$Q$31,9,FALSE),0)</f>
        <v>0</v>
      </c>
      <c r="J24" s="12">
        <f>IFERROR(VLOOKUP($B24,Súpravy!$A$6:$Q$31,12,FALSE),0)</f>
        <v>0</v>
      </c>
      <c r="K24" s="12">
        <f>IFERROR(VLOOKUP($B24,Súpravy!$A$6:$Q$31,17,FALSE),0)</f>
        <v>0</v>
      </c>
      <c r="L24" s="12">
        <f>IFERROR(VLOOKUP($B24,Súpravy!$A$6:$Q$31,18,FALSE),0)</f>
        <v>0</v>
      </c>
      <c r="M24" s="17">
        <f t="shared" si="5"/>
        <v>0</v>
      </c>
      <c r="N24" s="93">
        <f>IF(OR(C24=53.328,M24&lt;=80%),0,D24*(Ocenenie!$E$56*(M24)*(M24)*(M24)+Ocenenie!$E$57*(M24)*(M24)+Ocenenie!$E$58*(M24)-Ocenenie!$E$60))</f>
        <v>0</v>
      </c>
    </row>
    <row r="25" spans="1:14" x14ac:dyDescent="0.25">
      <c r="A25" s="1" t="str">
        <f>Grafikon!$B14</f>
        <v>Os 4347</v>
      </c>
      <c r="B25" s="199"/>
      <c r="C25" s="2">
        <f>Grafikon!$D14</f>
        <v>26.718</v>
      </c>
      <c r="D25" s="3">
        <f>Grafikon!$H14</f>
        <v>100</v>
      </c>
      <c r="E25" s="10">
        <f>IFERROR(VLOOKUP($B25,Súpravy!$A$6:$Q$31,6,FALSE),0)</f>
        <v>0</v>
      </c>
      <c r="F25" s="31">
        <f t="shared" si="4"/>
        <v>0</v>
      </c>
      <c r="G25" s="10">
        <f>IFERROR(VLOOKUP($B25,Súpravy!$A$6:$Q$31,3,FALSE),0)</f>
        <v>0</v>
      </c>
      <c r="H25" s="17">
        <f t="shared" si="6"/>
        <v>0</v>
      </c>
      <c r="I25" s="12">
        <f>IFERROR(VLOOKUP($B25,Súpravy!$A$6:$Q$31,9,FALSE),0)</f>
        <v>0</v>
      </c>
      <c r="J25" s="12">
        <f>IFERROR(VLOOKUP($B25,Súpravy!$A$6:$Q$31,12,FALSE),0)</f>
        <v>0</v>
      </c>
      <c r="K25" s="12">
        <f>IFERROR(VLOOKUP($B25,Súpravy!$A$6:$Q$31,17,FALSE),0)</f>
        <v>0</v>
      </c>
      <c r="L25" s="12">
        <f>IFERROR(VLOOKUP($B25,Súpravy!$A$6:$Q$31,18,FALSE),0)</f>
        <v>0</v>
      </c>
      <c r="M25" s="17">
        <f t="shared" si="5"/>
        <v>0</v>
      </c>
      <c r="N25" s="93">
        <f>IF(OR(C25=53.328,M25&lt;=80%),0,D25*(Ocenenie!$E$56*(M25)*(M25)*(M25)+Ocenenie!$E$57*(M25)*(M25)+Ocenenie!$E$58*(M25)-Ocenenie!$E$60))</f>
        <v>0</v>
      </c>
    </row>
    <row r="26" spans="1:14" x14ac:dyDescent="0.25">
      <c r="A26" s="1" t="str">
        <f>Grafikon!$B15</f>
        <v>Os 4305</v>
      </c>
      <c r="B26" s="199"/>
      <c r="C26" s="2">
        <f>Grafikon!$D15</f>
        <v>46.847000000000001</v>
      </c>
      <c r="D26" s="3">
        <f>Grafikon!$H15</f>
        <v>200</v>
      </c>
      <c r="E26" s="10">
        <f>IFERROR(VLOOKUP($B26,Súpravy!$A$6:$Q$31,6,FALSE),0)</f>
        <v>0</v>
      </c>
      <c r="F26" s="31">
        <f t="shared" si="4"/>
        <v>0</v>
      </c>
      <c r="G26" s="10">
        <f>IFERROR(VLOOKUP($B26,Súpravy!$A$6:$Q$31,3,FALSE),0)</f>
        <v>0</v>
      </c>
      <c r="H26" s="17">
        <f t="shared" si="6"/>
        <v>0</v>
      </c>
      <c r="I26" s="12">
        <f>IFERROR(VLOOKUP($B26,Súpravy!$A$6:$Q$31,9,FALSE),0)</f>
        <v>0</v>
      </c>
      <c r="J26" s="12">
        <f>IFERROR(VLOOKUP($B26,Súpravy!$A$6:$Q$31,12,FALSE),0)</f>
        <v>0</v>
      </c>
      <c r="K26" s="12">
        <f>IFERROR(VLOOKUP($B26,Súpravy!$A$6:$Q$31,17,FALSE),0)</f>
        <v>0</v>
      </c>
      <c r="L26" s="12">
        <f>IFERROR(VLOOKUP($B26,Súpravy!$A$6:$Q$31,18,FALSE),0)</f>
        <v>0</v>
      </c>
      <c r="M26" s="17">
        <f t="shared" si="5"/>
        <v>0</v>
      </c>
      <c r="N26" s="93">
        <f>IF(OR(C26=53.328,M26&lt;=80%),0,D26*(Ocenenie!$E$56*(M26)*(M26)*(M26)+Ocenenie!$E$57*(M26)*(M26)+Ocenenie!$E$58*(M26)-Ocenenie!$E$60))</f>
        <v>0</v>
      </c>
    </row>
    <row r="27" spans="1:14" x14ac:dyDescent="0.25">
      <c r="A27" s="1" t="str">
        <f>Grafikon!$B16</f>
        <v>Os 4349</v>
      </c>
      <c r="B27" s="199"/>
      <c r="C27" s="2">
        <f>Grafikon!$D16</f>
        <v>26.718</v>
      </c>
      <c r="D27" s="3">
        <f>Grafikon!$H16</f>
        <v>100</v>
      </c>
      <c r="E27" s="10">
        <f>IFERROR(VLOOKUP($B27,Súpravy!$A$6:$Q$31,6,FALSE),0)</f>
        <v>0</v>
      </c>
      <c r="F27" s="31">
        <f t="shared" si="4"/>
        <v>0</v>
      </c>
      <c r="G27" s="10">
        <f>IFERROR(VLOOKUP($B27,Súpravy!$A$6:$Q$31,3,FALSE),0)</f>
        <v>0</v>
      </c>
      <c r="H27" s="17">
        <f t="shared" si="6"/>
        <v>0</v>
      </c>
      <c r="I27" s="12">
        <f>IFERROR(VLOOKUP($B27,Súpravy!$A$6:$Q$31,9,FALSE),0)</f>
        <v>0</v>
      </c>
      <c r="J27" s="12">
        <f>IFERROR(VLOOKUP($B27,Súpravy!$A$6:$Q$31,12,FALSE),0)</f>
        <v>0</v>
      </c>
      <c r="K27" s="12">
        <f>IFERROR(VLOOKUP($B27,Súpravy!$A$6:$Q$31,17,FALSE),0)</f>
        <v>0</v>
      </c>
      <c r="L27" s="12">
        <f>IFERROR(VLOOKUP($B27,Súpravy!$A$6:$Q$31,18,FALSE),0)</f>
        <v>0</v>
      </c>
      <c r="M27" s="17">
        <f t="shared" si="5"/>
        <v>0</v>
      </c>
      <c r="N27" s="93">
        <f>IF(OR(C27=53.328,M27&lt;=80%),0,D27*(Ocenenie!$E$56*(M27)*(M27)*(M27)+Ocenenie!$E$57*(M27)*(M27)+Ocenenie!$E$58*(M27)-Ocenenie!$E$60))</f>
        <v>0</v>
      </c>
    </row>
    <row r="28" spans="1:14" x14ac:dyDescent="0.25">
      <c r="A28" s="1" t="str">
        <f>Grafikon!$B17</f>
        <v>Zr 1765</v>
      </c>
      <c r="B28" s="199"/>
      <c r="C28" s="2">
        <f>Grafikon!$D17</f>
        <v>100.175</v>
      </c>
      <c r="D28" s="3">
        <f>Grafikon!$H17</f>
        <v>100</v>
      </c>
      <c r="E28" s="10">
        <f>IFERROR(VLOOKUP($B28,Súpravy!$A$6:$Q$31,6,FALSE),0)</f>
        <v>0</v>
      </c>
      <c r="F28" s="31">
        <f t="shared" si="4"/>
        <v>0</v>
      </c>
      <c r="G28" s="10">
        <f>IFERROR(VLOOKUP($B28,Súpravy!$A$6:$Q$31,3,FALSE),0)</f>
        <v>0</v>
      </c>
      <c r="H28" s="17">
        <f t="shared" si="6"/>
        <v>0</v>
      </c>
      <c r="I28" s="12">
        <f>IFERROR(VLOOKUP($B28,Súpravy!$A$6:$Q$31,9,FALSE),0)</f>
        <v>0</v>
      </c>
      <c r="J28" s="12">
        <f>IFERROR(VLOOKUP($B28,Súpravy!$A$6:$Q$31,12,FALSE),0)</f>
        <v>0</v>
      </c>
      <c r="K28" s="12">
        <f>IFERROR(VLOOKUP($B28,Súpravy!$A$6:$Q$31,17,FALSE),0)</f>
        <v>0</v>
      </c>
      <c r="L28" s="12">
        <f>IFERROR(VLOOKUP($B28,Súpravy!$A$6:$Q$31,18,FALSE),0)</f>
        <v>0</v>
      </c>
      <c r="M28" s="17">
        <f t="shared" si="5"/>
        <v>0</v>
      </c>
      <c r="N28" s="93">
        <f>IF(OR(C28=53.328,M28&lt;=80%),0,D28*(Ocenenie!$E$56*(M28)*(M28)*(M28)+Ocenenie!$E$57*(M28)*(M28)+Ocenenie!$E$58*(M28)-Ocenenie!$E$60))</f>
        <v>0</v>
      </c>
    </row>
    <row r="29" spans="1:14" x14ac:dyDescent="0.25">
      <c r="A29" s="1" t="str">
        <f>Grafikon!$B18</f>
        <v>Os 4307</v>
      </c>
      <c r="B29" s="199"/>
      <c r="C29" s="2">
        <f>Grafikon!$D18</f>
        <v>46.847000000000001</v>
      </c>
      <c r="D29" s="3">
        <f>Grafikon!$H18</f>
        <v>200</v>
      </c>
      <c r="E29" s="10">
        <f>IFERROR(VLOOKUP($B29,Súpravy!$A$6:$Q$31,6,FALSE),0)</f>
        <v>0</v>
      </c>
      <c r="F29" s="31">
        <f t="shared" si="4"/>
        <v>0</v>
      </c>
      <c r="G29" s="10">
        <f>IFERROR(VLOOKUP($B29,Súpravy!$A$6:$Q$31,3,FALSE),0)</f>
        <v>0</v>
      </c>
      <c r="H29" s="17">
        <f t="shared" si="6"/>
        <v>0</v>
      </c>
      <c r="I29" s="12">
        <f>IFERROR(VLOOKUP($B29,Súpravy!$A$6:$Q$31,9,FALSE),0)</f>
        <v>0</v>
      </c>
      <c r="J29" s="12">
        <f>IFERROR(VLOOKUP($B29,Súpravy!$A$6:$Q$31,12,FALSE),0)</f>
        <v>0</v>
      </c>
      <c r="K29" s="12">
        <f>IFERROR(VLOOKUP($B29,Súpravy!$A$6:$Q$31,17,FALSE),0)</f>
        <v>0</v>
      </c>
      <c r="L29" s="12">
        <f>IFERROR(VLOOKUP($B29,Súpravy!$A$6:$Q$31,18,FALSE),0)</f>
        <v>0</v>
      </c>
      <c r="M29" s="17">
        <f t="shared" si="5"/>
        <v>0</v>
      </c>
      <c r="N29" s="93">
        <f>IF(OR(C29=53.328,M29&lt;=80%),0,D29*(Ocenenie!$E$56*(M29)*(M29)*(M29)+Ocenenie!$E$57*(M29)*(M29)+Ocenenie!$E$58*(M29)-Ocenenie!$E$60))</f>
        <v>0</v>
      </c>
    </row>
    <row r="30" spans="1:14" x14ac:dyDescent="0.25">
      <c r="A30" s="1" t="str">
        <f>Grafikon!$B19</f>
        <v>Os 4309</v>
      </c>
      <c r="B30" s="199"/>
      <c r="C30" s="2">
        <f>Grafikon!$D19</f>
        <v>46.847000000000001</v>
      </c>
      <c r="D30" s="3">
        <f>Grafikon!$H19</f>
        <v>200</v>
      </c>
      <c r="E30" s="10">
        <f>IFERROR(VLOOKUP($B30,Súpravy!$A$6:$Q$31,6,FALSE),0)</f>
        <v>0</v>
      </c>
      <c r="F30" s="31">
        <f t="shared" si="4"/>
        <v>0</v>
      </c>
      <c r="G30" s="10">
        <f>IFERROR(VLOOKUP($B30,Súpravy!$A$6:$Q$31,3,FALSE),0)</f>
        <v>0</v>
      </c>
      <c r="H30" s="17">
        <f t="shared" si="6"/>
        <v>0</v>
      </c>
      <c r="I30" s="12">
        <f>IFERROR(VLOOKUP($B30,Súpravy!$A$6:$Q$31,9,FALSE),0)</f>
        <v>0</v>
      </c>
      <c r="J30" s="12">
        <f>IFERROR(VLOOKUP($B30,Súpravy!$A$6:$Q$31,12,FALSE),0)</f>
        <v>0</v>
      </c>
      <c r="K30" s="12">
        <f>IFERROR(VLOOKUP($B30,Súpravy!$A$6:$Q$31,17,FALSE),0)</f>
        <v>0</v>
      </c>
      <c r="L30" s="12">
        <f>IFERROR(VLOOKUP($B30,Súpravy!$A$6:$Q$31,18,FALSE),0)</f>
        <v>0</v>
      </c>
      <c r="M30" s="17">
        <f t="shared" si="5"/>
        <v>0</v>
      </c>
      <c r="N30" s="93">
        <f>IF(OR(C30=53.328,M30&lt;=80%),0,D30*(Ocenenie!$E$56*(M30)*(M30)*(M30)+Ocenenie!$E$57*(M30)*(M30)+Ocenenie!$E$58*(M30)-Ocenenie!$E$60))</f>
        <v>0</v>
      </c>
    </row>
    <row r="31" spans="1:14" x14ac:dyDescent="0.25">
      <c r="A31" s="1" t="str">
        <f>Grafikon!$B20</f>
        <v>Zr 1769</v>
      </c>
      <c r="B31" s="199"/>
      <c r="C31" s="2">
        <f>Grafikon!$D20</f>
        <v>100.175</v>
      </c>
      <c r="D31" s="3">
        <f>Grafikon!$H20</f>
        <v>100</v>
      </c>
      <c r="E31" s="10">
        <f>IFERROR(VLOOKUP($B31,Súpravy!$A$6:$Q$31,6,FALSE),0)</f>
        <v>0</v>
      </c>
      <c r="F31" s="31">
        <f t="shared" si="4"/>
        <v>0</v>
      </c>
      <c r="G31" s="10">
        <f>IFERROR(VLOOKUP($B31,Súpravy!$A$6:$Q$31,3,FALSE),0)</f>
        <v>0</v>
      </c>
      <c r="H31" s="17">
        <f t="shared" si="6"/>
        <v>0</v>
      </c>
      <c r="I31" s="12">
        <f>IFERROR(VLOOKUP($B31,Súpravy!$A$6:$Q$31,9,FALSE),0)</f>
        <v>0</v>
      </c>
      <c r="J31" s="12">
        <f>IFERROR(VLOOKUP($B31,Súpravy!$A$6:$Q$31,12,FALSE),0)</f>
        <v>0</v>
      </c>
      <c r="K31" s="12">
        <f>IFERROR(VLOOKUP($B31,Súpravy!$A$6:$Q$31,17,FALSE),0)</f>
        <v>0</v>
      </c>
      <c r="L31" s="12">
        <f>IFERROR(VLOOKUP($B31,Súpravy!$A$6:$Q$31,18,FALSE),0)</f>
        <v>0</v>
      </c>
      <c r="M31" s="17">
        <f t="shared" si="5"/>
        <v>0</v>
      </c>
      <c r="N31" s="93">
        <f>IF(OR(C31=53.328,M31&lt;=80%),0,D31*(Ocenenie!$E$56*(M31)*(M31)*(M31)+Ocenenie!$E$57*(M31)*(M31)+Ocenenie!$E$58*(M31)-Ocenenie!$E$60))</f>
        <v>0</v>
      </c>
    </row>
    <row r="32" spans="1:14" x14ac:dyDescent="0.25">
      <c r="A32" s="1" t="str">
        <f>Grafikon!$B21</f>
        <v>Os 4311</v>
      </c>
      <c r="B32" s="199"/>
      <c r="C32" s="2">
        <f>Grafikon!$D21</f>
        <v>46.847000000000001</v>
      </c>
      <c r="D32" s="3">
        <f>Grafikon!$H21</f>
        <v>200</v>
      </c>
      <c r="E32" s="10">
        <f>IFERROR(VLOOKUP($B32,Súpravy!$A$6:$Q$31,6,FALSE),0)</f>
        <v>0</v>
      </c>
      <c r="F32" s="31">
        <f t="shared" si="4"/>
        <v>0</v>
      </c>
      <c r="G32" s="10">
        <f>IFERROR(VLOOKUP($B32,Súpravy!$A$6:$Q$31,3,FALSE),0)</f>
        <v>0</v>
      </c>
      <c r="H32" s="17">
        <f t="shared" si="6"/>
        <v>0</v>
      </c>
      <c r="I32" s="12">
        <f>IFERROR(VLOOKUP($B32,Súpravy!$A$6:$Q$31,9,FALSE),0)</f>
        <v>0</v>
      </c>
      <c r="J32" s="12">
        <f>IFERROR(VLOOKUP($B32,Súpravy!$A$6:$Q$31,12,FALSE),0)</f>
        <v>0</v>
      </c>
      <c r="K32" s="12">
        <f>IFERROR(VLOOKUP($B32,Súpravy!$A$6:$Q$31,17,FALSE),0)</f>
        <v>0</v>
      </c>
      <c r="L32" s="12">
        <f>IFERROR(VLOOKUP($B32,Súpravy!$A$6:$Q$31,18,FALSE),0)</f>
        <v>0</v>
      </c>
      <c r="M32" s="17">
        <f t="shared" si="5"/>
        <v>0</v>
      </c>
      <c r="N32" s="93">
        <f>IF(OR(C32=53.328,M32&lt;=80%),0,D32*(Ocenenie!$E$56*(M32)*(M32)*(M32)+Ocenenie!$E$57*(M32)*(M32)+Ocenenie!$E$58*(M32)-Ocenenie!$E$60))</f>
        <v>0</v>
      </c>
    </row>
    <row r="33" spans="1:14" x14ac:dyDescent="0.25">
      <c r="A33" s="1" t="str">
        <f>Grafikon!$B22</f>
        <v>Os 4313</v>
      </c>
      <c r="B33" s="199"/>
      <c r="C33" s="2">
        <f>Grafikon!$D22</f>
        <v>46.847000000000001</v>
      </c>
      <c r="D33" s="3">
        <f>Grafikon!$H22</f>
        <v>200</v>
      </c>
      <c r="E33" s="10">
        <f>IFERROR(VLOOKUP($B33,Súpravy!$A$6:$Q$31,6,FALSE),0)</f>
        <v>0</v>
      </c>
      <c r="F33" s="31">
        <f t="shared" si="4"/>
        <v>0</v>
      </c>
      <c r="G33" s="10">
        <f>IFERROR(VLOOKUP($B33,Súpravy!$A$6:$Q$31,3,FALSE),0)</f>
        <v>0</v>
      </c>
      <c r="H33" s="17">
        <f t="shared" si="6"/>
        <v>0</v>
      </c>
      <c r="I33" s="12">
        <f>IFERROR(VLOOKUP($B33,Súpravy!$A$6:$Q$31,9,FALSE),0)</f>
        <v>0</v>
      </c>
      <c r="J33" s="12">
        <f>IFERROR(VLOOKUP($B33,Súpravy!$A$6:$Q$31,12,FALSE),0)</f>
        <v>0</v>
      </c>
      <c r="K33" s="12">
        <f>IFERROR(VLOOKUP($B33,Súpravy!$A$6:$Q$31,17,FALSE),0)</f>
        <v>0</v>
      </c>
      <c r="L33" s="12">
        <f>IFERROR(VLOOKUP($B33,Súpravy!$A$6:$Q$31,18,FALSE),0)</f>
        <v>0</v>
      </c>
      <c r="M33" s="17">
        <f t="shared" si="5"/>
        <v>0</v>
      </c>
      <c r="N33" s="93">
        <f>IF(OR(C33=53.328,M33&lt;=80%),0,D33*(Ocenenie!$E$56*(M33)*(M33)*(M33)+Ocenenie!$E$57*(M33)*(M33)+Ocenenie!$E$58*(M33)-Ocenenie!$E$60))</f>
        <v>0</v>
      </c>
    </row>
    <row r="34" spans="1:14" x14ac:dyDescent="0.25">
      <c r="A34" s="1" t="str">
        <f>Grafikon!$B23</f>
        <v>Zr 1773</v>
      </c>
      <c r="B34" s="199"/>
      <c r="C34" s="2">
        <f>Grafikon!$D23</f>
        <v>100.175</v>
      </c>
      <c r="D34" s="3">
        <f>Grafikon!$H23</f>
        <v>200</v>
      </c>
      <c r="E34" s="10">
        <f>IFERROR(VLOOKUP($B34,Súpravy!$A$6:$Q$31,6,FALSE),0)</f>
        <v>0</v>
      </c>
      <c r="F34" s="31">
        <f t="shared" si="4"/>
        <v>0</v>
      </c>
      <c r="G34" s="10">
        <f>IFERROR(VLOOKUP($B34,Súpravy!$A$6:$Q$31,3,FALSE),0)</f>
        <v>0</v>
      </c>
      <c r="H34" s="17">
        <f t="shared" si="6"/>
        <v>0</v>
      </c>
      <c r="I34" s="12">
        <f>IFERROR(VLOOKUP($B34,Súpravy!$A$6:$Q$31,9,FALSE),0)</f>
        <v>0</v>
      </c>
      <c r="J34" s="12">
        <f>IFERROR(VLOOKUP($B34,Súpravy!$A$6:$Q$31,12,FALSE),0)</f>
        <v>0</v>
      </c>
      <c r="K34" s="12">
        <f>IFERROR(VLOOKUP($B34,Súpravy!$A$6:$Q$31,17,FALSE),0)</f>
        <v>0</v>
      </c>
      <c r="L34" s="12">
        <f>IFERROR(VLOOKUP($B34,Súpravy!$A$6:$Q$31,18,FALSE),0)</f>
        <v>0</v>
      </c>
      <c r="M34" s="17">
        <f t="shared" si="5"/>
        <v>0</v>
      </c>
      <c r="N34" s="93">
        <f>IF(OR(C34=53.328,M34&lt;=80%),0,D34*(Ocenenie!$E$56*(M34)*(M34)*(M34)+Ocenenie!$E$57*(M34)*(M34)+Ocenenie!$E$58*(M34)-Ocenenie!$E$60))</f>
        <v>0</v>
      </c>
    </row>
    <row r="35" spans="1:14" x14ac:dyDescent="0.25">
      <c r="A35" s="1" t="str">
        <f>Grafikon!$B24</f>
        <v>Os 4315</v>
      </c>
      <c r="B35" s="199"/>
      <c r="C35" s="2">
        <f>Grafikon!$D24</f>
        <v>46.847000000000001</v>
      </c>
      <c r="D35" s="3">
        <f>Grafikon!$H24</f>
        <v>300</v>
      </c>
      <c r="E35" s="10">
        <f>IFERROR(VLOOKUP($B35,Súpravy!$A$6:$Q$31,6,FALSE),0)</f>
        <v>0</v>
      </c>
      <c r="F35" s="31">
        <f t="shared" si="4"/>
        <v>0</v>
      </c>
      <c r="G35" s="10">
        <f>IFERROR(VLOOKUP($B35,Súpravy!$A$6:$Q$31,3,FALSE),0)</f>
        <v>0</v>
      </c>
      <c r="H35" s="17">
        <f t="shared" si="6"/>
        <v>0</v>
      </c>
      <c r="I35" s="12">
        <f>IFERROR(VLOOKUP($B35,Súpravy!$A$6:$Q$31,9,FALSE),0)</f>
        <v>0</v>
      </c>
      <c r="J35" s="12">
        <f>IFERROR(VLOOKUP($B35,Súpravy!$A$6:$Q$31,12,FALSE),0)</f>
        <v>0</v>
      </c>
      <c r="K35" s="12">
        <f>IFERROR(VLOOKUP($B35,Súpravy!$A$6:$Q$31,17,FALSE),0)</f>
        <v>0</v>
      </c>
      <c r="L35" s="12">
        <f>IFERROR(VLOOKUP($B35,Súpravy!$A$6:$Q$31,18,FALSE),0)</f>
        <v>0</v>
      </c>
      <c r="M35" s="17">
        <f t="shared" si="5"/>
        <v>0</v>
      </c>
      <c r="N35" s="93">
        <f>IF(OR(C35=53.328,M35&lt;=80%),0,D35*(Ocenenie!$E$56*(M35)*(M35)*(M35)+Ocenenie!$E$57*(M35)*(M35)+Ocenenie!$E$58*(M35)-Ocenenie!$E$60))</f>
        <v>0</v>
      </c>
    </row>
    <row r="36" spans="1:14" x14ac:dyDescent="0.25">
      <c r="A36" s="1" t="str">
        <f>Grafikon!$B25</f>
        <v>Os 4351</v>
      </c>
      <c r="B36" s="199"/>
      <c r="C36" s="2">
        <f>Grafikon!$D25</f>
        <v>26.718</v>
      </c>
      <c r="D36" s="3">
        <f>Grafikon!$H25</f>
        <v>300</v>
      </c>
      <c r="E36" s="10">
        <f>IFERROR(VLOOKUP($B36,Súpravy!$A$6:$Q$31,6,FALSE),0)</f>
        <v>0</v>
      </c>
      <c r="F36" s="31">
        <f t="shared" si="4"/>
        <v>0</v>
      </c>
      <c r="G36" s="10">
        <f>IFERROR(VLOOKUP($B36,Súpravy!$A$6:$Q$31,3,FALSE),0)</f>
        <v>0</v>
      </c>
      <c r="H36" s="17">
        <f t="shared" si="6"/>
        <v>0</v>
      </c>
      <c r="I36" s="12">
        <f>IFERROR(VLOOKUP($B36,Súpravy!$A$6:$Q$31,9,FALSE),0)</f>
        <v>0</v>
      </c>
      <c r="J36" s="12">
        <f>IFERROR(VLOOKUP($B36,Súpravy!$A$6:$Q$31,12,FALSE),0)</f>
        <v>0</v>
      </c>
      <c r="K36" s="12">
        <f>IFERROR(VLOOKUP($B36,Súpravy!$A$6:$Q$31,17,FALSE),0)</f>
        <v>0</v>
      </c>
      <c r="L36" s="12">
        <f>IFERROR(VLOOKUP($B36,Súpravy!$A$6:$Q$31,18,FALSE),0)</f>
        <v>0</v>
      </c>
      <c r="M36" s="17">
        <f t="shared" si="5"/>
        <v>0</v>
      </c>
      <c r="N36" s="93">
        <f>IF(OR(C36=53.328,M36&lt;=80%),0,D36*(Ocenenie!$E$56*(M36)*(M36)*(M36)+Ocenenie!$E$57*(M36)*(M36)+Ocenenie!$E$58*(M36)-Ocenenie!$E$60))</f>
        <v>0</v>
      </c>
    </row>
    <row r="37" spans="1:14" x14ac:dyDescent="0.25">
      <c r="A37" s="1" t="str">
        <f>Grafikon!$B26</f>
        <v>Zr 1775</v>
      </c>
      <c r="B37" s="199"/>
      <c r="C37" s="2">
        <f>Grafikon!$D26</f>
        <v>46.847000000000001</v>
      </c>
      <c r="D37" s="3">
        <f>Grafikon!$H26</f>
        <v>200</v>
      </c>
      <c r="E37" s="10">
        <f>IFERROR(VLOOKUP($B37,Súpravy!$A$6:$Q$31,6,FALSE),0)</f>
        <v>0</v>
      </c>
      <c r="F37" s="31">
        <f t="shared" si="4"/>
        <v>0</v>
      </c>
      <c r="G37" s="10">
        <f>IFERROR(VLOOKUP($B37,Súpravy!$A$6:$Q$31,3,FALSE),0)</f>
        <v>0</v>
      </c>
      <c r="H37" s="17">
        <f t="shared" si="6"/>
        <v>0</v>
      </c>
      <c r="I37" s="12">
        <f>IFERROR(VLOOKUP($B37,Súpravy!$A$6:$Q$31,9,FALSE),0)</f>
        <v>0</v>
      </c>
      <c r="J37" s="12">
        <f>IFERROR(VLOOKUP($B37,Súpravy!$A$6:$Q$31,12,FALSE),0)</f>
        <v>0</v>
      </c>
      <c r="K37" s="12">
        <f>IFERROR(VLOOKUP($B37,Súpravy!$A$6:$Q$31,17,FALSE),0)</f>
        <v>0</v>
      </c>
      <c r="L37" s="12">
        <f>IFERROR(VLOOKUP($B37,Súpravy!$A$6:$Q$31,18,FALSE),0)</f>
        <v>0</v>
      </c>
      <c r="M37" s="17">
        <f t="shared" si="5"/>
        <v>0</v>
      </c>
      <c r="N37" s="93">
        <f>IF(OR(C37=53.328,M37&lt;=80%),0,D37*(Ocenenie!$E$56*(M37)*(M37)*(M37)+Ocenenie!$E$57*(M37)*(M37)+Ocenenie!$E$58*(M37)-Ocenenie!$E$60))</f>
        <v>0</v>
      </c>
    </row>
    <row r="38" spans="1:14" x14ac:dyDescent="0.25">
      <c r="A38" s="1" t="str">
        <f>Grafikon!$B27</f>
        <v>Os 4379</v>
      </c>
      <c r="B38" s="199"/>
      <c r="C38" s="2">
        <f>Grafikon!$D27</f>
        <v>53.328000000000003</v>
      </c>
      <c r="D38" s="3">
        <f>Grafikon!$H27</f>
        <v>200</v>
      </c>
      <c r="E38" s="10">
        <f>IFERROR(VLOOKUP($B38,Súpravy!$A$6:$Q$31,6,FALSE),0)</f>
        <v>0</v>
      </c>
      <c r="F38" s="31">
        <f t="shared" si="4"/>
        <v>0</v>
      </c>
      <c r="G38" s="10">
        <f>IFERROR(VLOOKUP($B38,Súpravy!$A$6:$Q$31,3,FALSE),0)</f>
        <v>0</v>
      </c>
      <c r="H38" s="17">
        <f t="shared" si="6"/>
        <v>0</v>
      </c>
      <c r="I38" s="12">
        <f>IFERROR(VLOOKUP($B38,Súpravy!$A$6:$Q$31,9,FALSE),0)</f>
        <v>0</v>
      </c>
      <c r="J38" s="12">
        <f>IFERROR(VLOOKUP($B38,Súpravy!$A$6:$Q$31,12,FALSE),0)</f>
        <v>0</v>
      </c>
      <c r="K38" s="12">
        <f>IFERROR(VLOOKUP($B38,Súpravy!$A$6:$Q$31,17,FALSE),0)</f>
        <v>0</v>
      </c>
      <c r="L38" s="12">
        <f>IFERROR(VLOOKUP($B38,Súpravy!$A$6:$Q$31,18,FALSE),0)</f>
        <v>0</v>
      </c>
      <c r="M38" s="17">
        <f t="shared" si="5"/>
        <v>0</v>
      </c>
      <c r="N38" s="93">
        <f>IF(OR(C38=53.328,M38&lt;=80%),0,D38*(Ocenenie!$E$56*(M38)*(M38)*(M38)+Ocenenie!$E$57*(M38)*(M38)+Ocenenie!$E$58*(M38)-Ocenenie!$E$60))</f>
        <v>0</v>
      </c>
    </row>
    <row r="39" spans="1:14" x14ac:dyDescent="0.25">
      <c r="A39" s="1" t="str">
        <f>Grafikon!$B28</f>
        <v>Os 4317</v>
      </c>
      <c r="B39" s="199"/>
      <c r="C39" s="2">
        <f>Grafikon!$D28</f>
        <v>46.847000000000001</v>
      </c>
      <c r="D39" s="3">
        <f>Grafikon!$H28</f>
        <v>400</v>
      </c>
      <c r="E39" s="10">
        <f>IFERROR(VLOOKUP($B39,Súpravy!$A$6:$Q$31,6,FALSE),0)</f>
        <v>0</v>
      </c>
      <c r="F39" s="31">
        <f t="shared" si="4"/>
        <v>0</v>
      </c>
      <c r="G39" s="10">
        <f>IFERROR(VLOOKUP($B39,Súpravy!$A$6:$Q$31,3,FALSE),0)</f>
        <v>0</v>
      </c>
      <c r="H39" s="17">
        <f t="shared" si="6"/>
        <v>0</v>
      </c>
      <c r="I39" s="12">
        <f>IFERROR(VLOOKUP($B39,Súpravy!$A$6:$Q$31,9,FALSE),0)</f>
        <v>0</v>
      </c>
      <c r="J39" s="12">
        <f>IFERROR(VLOOKUP($B39,Súpravy!$A$6:$Q$31,12,FALSE),0)</f>
        <v>0</v>
      </c>
      <c r="K39" s="12">
        <f>IFERROR(VLOOKUP($B39,Súpravy!$A$6:$Q$31,17,FALSE),0)</f>
        <v>0</v>
      </c>
      <c r="L39" s="12">
        <f>IFERROR(VLOOKUP($B39,Súpravy!$A$6:$Q$31,18,FALSE),0)</f>
        <v>0</v>
      </c>
      <c r="M39" s="17">
        <f t="shared" si="5"/>
        <v>0</v>
      </c>
      <c r="N39" s="93">
        <f>IF(OR(C39=53.328,M39&lt;=80%),0,D39*(Ocenenie!$E$56*(M39)*(M39)*(M39)+Ocenenie!$E$57*(M39)*(M39)+Ocenenie!$E$58*(M39)-Ocenenie!$E$60))</f>
        <v>0</v>
      </c>
    </row>
    <row r="40" spans="1:14" x14ac:dyDescent="0.25">
      <c r="A40" s="1" t="str">
        <f>Grafikon!$B29</f>
        <v>Os 4353</v>
      </c>
      <c r="B40" s="199"/>
      <c r="C40" s="2">
        <f>Grafikon!$D29</f>
        <v>26.718</v>
      </c>
      <c r="D40" s="3">
        <f>Grafikon!$H29</f>
        <v>400</v>
      </c>
      <c r="E40" s="10">
        <f>IFERROR(VLOOKUP($B40,Súpravy!$A$6:$Q$31,6,FALSE),0)</f>
        <v>0</v>
      </c>
      <c r="F40" s="31">
        <f t="shared" si="4"/>
        <v>0</v>
      </c>
      <c r="G40" s="10">
        <f>IFERROR(VLOOKUP($B40,Súpravy!$A$6:$Q$31,3,FALSE),0)</f>
        <v>0</v>
      </c>
      <c r="H40" s="17">
        <f t="shared" si="6"/>
        <v>0</v>
      </c>
      <c r="I40" s="12">
        <f>IFERROR(VLOOKUP($B40,Súpravy!$A$6:$Q$31,9,FALSE),0)</f>
        <v>0</v>
      </c>
      <c r="J40" s="12">
        <f>IFERROR(VLOOKUP($B40,Súpravy!$A$6:$Q$31,12,FALSE),0)</f>
        <v>0</v>
      </c>
      <c r="K40" s="12">
        <f>IFERROR(VLOOKUP($B40,Súpravy!$A$6:$Q$31,17,FALSE),0)</f>
        <v>0</v>
      </c>
      <c r="L40" s="12">
        <f>IFERROR(VLOOKUP($B40,Súpravy!$A$6:$Q$31,18,FALSE),0)</f>
        <v>0</v>
      </c>
      <c r="M40" s="17">
        <f t="shared" si="5"/>
        <v>0</v>
      </c>
      <c r="N40" s="93">
        <f>IF(OR(C40=53.328,M40&lt;=80%),0,D40*(Ocenenie!$E$56*(M40)*(M40)*(M40)+Ocenenie!$E$57*(M40)*(M40)+Ocenenie!$E$58*(M40)-Ocenenie!$E$60))</f>
        <v>0</v>
      </c>
    </row>
    <row r="41" spans="1:14" x14ac:dyDescent="0.25">
      <c r="A41" s="1" t="str">
        <f>Grafikon!$B30</f>
        <v>Zr 1777</v>
      </c>
      <c r="B41" s="199"/>
      <c r="C41" s="2">
        <f>Grafikon!$D30</f>
        <v>100.175</v>
      </c>
      <c r="D41" s="3">
        <f>Grafikon!$H30</f>
        <v>300</v>
      </c>
      <c r="E41" s="10">
        <f>IFERROR(VLOOKUP($B41,Súpravy!$A$6:$Q$31,6,FALSE),0)</f>
        <v>0</v>
      </c>
      <c r="F41" s="31">
        <f t="shared" si="4"/>
        <v>0</v>
      </c>
      <c r="G41" s="10">
        <f>IFERROR(VLOOKUP($B41,Súpravy!$A$6:$Q$31,3,FALSE),0)</f>
        <v>0</v>
      </c>
      <c r="H41" s="17">
        <f t="shared" si="6"/>
        <v>0</v>
      </c>
      <c r="I41" s="12">
        <f>IFERROR(VLOOKUP($B41,Súpravy!$A$6:$Q$31,9,FALSE),0)</f>
        <v>0</v>
      </c>
      <c r="J41" s="12">
        <f>IFERROR(VLOOKUP($B41,Súpravy!$A$6:$Q$31,12,FALSE),0)</f>
        <v>0</v>
      </c>
      <c r="K41" s="12">
        <f>IFERROR(VLOOKUP($B41,Súpravy!$A$6:$Q$31,17,FALSE),0)</f>
        <v>0</v>
      </c>
      <c r="L41" s="12">
        <f>IFERROR(VLOOKUP($B41,Súpravy!$A$6:$Q$31,18,FALSE),0)</f>
        <v>0</v>
      </c>
      <c r="M41" s="17">
        <f t="shared" si="5"/>
        <v>0</v>
      </c>
      <c r="N41" s="93">
        <f>IF(OR(C41=53.328,M41&lt;=80%),0,D41*(Ocenenie!$E$56*(M41)*(M41)*(M41)+Ocenenie!$E$57*(M41)*(M41)+Ocenenie!$E$58*(M41)-Ocenenie!$E$60))</f>
        <v>0</v>
      </c>
    </row>
    <row r="42" spans="1:14" x14ac:dyDescent="0.25">
      <c r="A42" s="1" t="str">
        <f>Grafikon!$B31</f>
        <v>Os 4319</v>
      </c>
      <c r="B42" s="199"/>
      <c r="C42" s="2">
        <f>Grafikon!$D31</f>
        <v>46.847000000000001</v>
      </c>
      <c r="D42" s="3">
        <f>Grafikon!$H31</f>
        <v>600</v>
      </c>
      <c r="E42" s="10">
        <f>IFERROR(VLOOKUP($B42,Súpravy!$A$6:$Q$31,6,FALSE),0)</f>
        <v>0</v>
      </c>
      <c r="F42" s="31">
        <f t="shared" si="4"/>
        <v>0</v>
      </c>
      <c r="G42" s="10">
        <f>IFERROR(VLOOKUP($B42,Súpravy!$A$6:$Q$31,3,FALSE),0)</f>
        <v>0</v>
      </c>
      <c r="H42" s="17">
        <f t="shared" si="6"/>
        <v>0</v>
      </c>
      <c r="I42" s="12">
        <f>IFERROR(VLOOKUP($B42,Súpravy!$A$6:$Q$31,9,FALSE),0)</f>
        <v>0</v>
      </c>
      <c r="J42" s="12">
        <f>IFERROR(VLOOKUP($B42,Súpravy!$A$6:$Q$31,12,FALSE),0)</f>
        <v>0</v>
      </c>
      <c r="K42" s="12">
        <f>IFERROR(VLOOKUP($B42,Súpravy!$A$6:$Q$31,17,FALSE),0)</f>
        <v>0</v>
      </c>
      <c r="L42" s="12">
        <f>IFERROR(VLOOKUP($B42,Súpravy!$A$6:$Q$31,18,FALSE),0)</f>
        <v>0</v>
      </c>
      <c r="M42" s="17">
        <f t="shared" si="5"/>
        <v>0</v>
      </c>
      <c r="N42" s="93">
        <f>IF(OR(C42=53.328,M42&lt;=80%),0,D42*(Ocenenie!$E$56*(M42)*(M42)*(M42)+Ocenenie!$E$57*(M42)*(M42)+Ocenenie!$E$58*(M42)-Ocenenie!$E$60))</f>
        <v>0</v>
      </c>
    </row>
    <row r="43" spans="1:14" x14ac:dyDescent="0.25">
      <c r="A43" s="1" t="str">
        <f>Grafikon!$B32</f>
        <v>Os 4355</v>
      </c>
      <c r="B43" s="199"/>
      <c r="C43" s="2">
        <f>Grafikon!$D32</f>
        <v>26.718</v>
      </c>
      <c r="D43" s="3">
        <f>Grafikon!$H32</f>
        <v>400</v>
      </c>
      <c r="E43" s="10">
        <f>IFERROR(VLOOKUP($B43,Súpravy!$A$6:$Q$31,6,FALSE),0)</f>
        <v>0</v>
      </c>
      <c r="F43" s="31">
        <f t="shared" si="4"/>
        <v>0</v>
      </c>
      <c r="G43" s="10">
        <f>IFERROR(VLOOKUP($B43,Súpravy!$A$6:$Q$31,3,FALSE),0)</f>
        <v>0</v>
      </c>
      <c r="H43" s="17">
        <f t="shared" si="6"/>
        <v>0</v>
      </c>
      <c r="I43" s="12">
        <f>IFERROR(VLOOKUP($B43,Súpravy!$A$6:$Q$31,9,FALSE),0)</f>
        <v>0</v>
      </c>
      <c r="J43" s="12">
        <f>IFERROR(VLOOKUP($B43,Súpravy!$A$6:$Q$31,12,FALSE),0)</f>
        <v>0</v>
      </c>
      <c r="K43" s="12">
        <f>IFERROR(VLOOKUP($B43,Súpravy!$A$6:$Q$31,17,FALSE),0)</f>
        <v>0</v>
      </c>
      <c r="L43" s="12">
        <f>IFERROR(VLOOKUP($B43,Súpravy!$A$6:$Q$31,18,FALSE),0)</f>
        <v>0</v>
      </c>
      <c r="M43" s="17">
        <f t="shared" si="5"/>
        <v>0</v>
      </c>
      <c r="N43" s="93">
        <f>IF(OR(C43=53.328,M43&lt;=80%),0,D43*(Ocenenie!$E$56*(M43)*(M43)*(M43)+Ocenenie!$E$57*(M43)*(M43)+Ocenenie!$E$58*(M43)-Ocenenie!$E$60))</f>
        <v>0</v>
      </c>
    </row>
    <row r="44" spans="1:14" x14ac:dyDescent="0.25">
      <c r="A44" s="1" t="str">
        <f>Grafikon!$B33</f>
        <v>Zr 1779</v>
      </c>
      <c r="B44" s="199"/>
      <c r="C44" s="2">
        <f>Grafikon!$D33</f>
        <v>46.847000000000001</v>
      </c>
      <c r="D44" s="3">
        <f>Grafikon!$H33</f>
        <v>300</v>
      </c>
      <c r="E44" s="10">
        <f>IFERROR(VLOOKUP($B44,Súpravy!$A$6:$Q$31,6,FALSE),0)</f>
        <v>0</v>
      </c>
      <c r="F44" s="31">
        <f t="shared" si="4"/>
        <v>0</v>
      </c>
      <c r="G44" s="10">
        <f>IFERROR(VLOOKUP($B44,Súpravy!$A$6:$Q$31,3,FALSE),0)</f>
        <v>0</v>
      </c>
      <c r="H44" s="17">
        <f t="shared" si="6"/>
        <v>0</v>
      </c>
      <c r="I44" s="12">
        <f>IFERROR(VLOOKUP($B44,Súpravy!$A$6:$Q$31,9,FALSE),0)</f>
        <v>0</v>
      </c>
      <c r="J44" s="12">
        <f>IFERROR(VLOOKUP($B44,Súpravy!$A$6:$Q$31,12,FALSE),0)</f>
        <v>0</v>
      </c>
      <c r="K44" s="12">
        <f>IFERROR(VLOOKUP($B44,Súpravy!$A$6:$Q$31,17,FALSE),0)</f>
        <v>0</v>
      </c>
      <c r="L44" s="12">
        <f>IFERROR(VLOOKUP($B44,Súpravy!$A$6:$Q$31,18,FALSE),0)</f>
        <v>0</v>
      </c>
      <c r="M44" s="17">
        <f t="shared" si="5"/>
        <v>0</v>
      </c>
      <c r="N44" s="93">
        <f>IF(OR(C44=53.328,M44&lt;=80%),0,D44*(Ocenenie!$E$56*(M44)*(M44)*(M44)+Ocenenie!$E$57*(M44)*(M44)+Ocenenie!$E$58*(M44)-Ocenenie!$E$60))</f>
        <v>0</v>
      </c>
    </row>
    <row r="45" spans="1:14" x14ac:dyDescent="0.25">
      <c r="A45" s="1" t="str">
        <f>Grafikon!$B34</f>
        <v>Os 4381</v>
      </c>
      <c r="B45" s="199"/>
      <c r="C45" s="2">
        <f>Grafikon!$D34</f>
        <v>53.328000000000003</v>
      </c>
      <c r="D45" s="3">
        <f>Grafikon!$H34</f>
        <v>200</v>
      </c>
      <c r="E45" s="10">
        <f>IFERROR(VLOOKUP($B45,Súpravy!$A$6:$Q$31,6,FALSE),0)</f>
        <v>0</v>
      </c>
      <c r="F45" s="31">
        <f t="shared" si="4"/>
        <v>0</v>
      </c>
      <c r="G45" s="10">
        <f>IFERROR(VLOOKUP($B45,Súpravy!$A$6:$Q$31,3,FALSE),0)</f>
        <v>0</v>
      </c>
      <c r="H45" s="17">
        <f t="shared" si="6"/>
        <v>0</v>
      </c>
      <c r="I45" s="12">
        <f>IFERROR(VLOOKUP($B45,Súpravy!$A$6:$Q$31,9,FALSE),0)</f>
        <v>0</v>
      </c>
      <c r="J45" s="12">
        <f>IFERROR(VLOOKUP($B45,Súpravy!$A$6:$Q$31,12,FALSE),0)</f>
        <v>0</v>
      </c>
      <c r="K45" s="12">
        <f>IFERROR(VLOOKUP($B45,Súpravy!$A$6:$Q$31,17,FALSE),0)</f>
        <v>0</v>
      </c>
      <c r="L45" s="12">
        <f>IFERROR(VLOOKUP($B45,Súpravy!$A$6:$Q$31,18,FALSE),0)</f>
        <v>0</v>
      </c>
      <c r="M45" s="17">
        <f t="shared" si="5"/>
        <v>0</v>
      </c>
      <c r="N45" s="93">
        <f>IF(OR(C45=53.328,M45&lt;=80%),0,D45*(Ocenenie!$E$56*(M45)*(M45)*(M45)+Ocenenie!$E$57*(M45)*(M45)+Ocenenie!$E$58*(M45)-Ocenenie!$E$60))</f>
        <v>0</v>
      </c>
    </row>
    <row r="46" spans="1:14" x14ac:dyDescent="0.25">
      <c r="A46" s="1" t="str">
        <f>Grafikon!$B35</f>
        <v>Os 4321</v>
      </c>
      <c r="B46" s="199"/>
      <c r="C46" s="2">
        <f>Grafikon!$D35</f>
        <v>46.847000000000001</v>
      </c>
      <c r="D46" s="3">
        <f>Grafikon!$H35</f>
        <v>600</v>
      </c>
      <c r="E46" s="10">
        <f>IFERROR(VLOOKUP($B46,Súpravy!$A$6:$Q$31,6,FALSE),0)</f>
        <v>0</v>
      </c>
      <c r="F46" s="31">
        <f t="shared" si="4"/>
        <v>0</v>
      </c>
      <c r="G46" s="10">
        <f>IFERROR(VLOOKUP($B46,Súpravy!$A$6:$Q$31,3,FALSE),0)</f>
        <v>0</v>
      </c>
      <c r="H46" s="17">
        <f t="shared" si="6"/>
        <v>0</v>
      </c>
      <c r="I46" s="12">
        <f>IFERROR(VLOOKUP($B46,Súpravy!$A$6:$Q$31,9,FALSE),0)</f>
        <v>0</v>
      </c>
      <c r="J46" s="12">
        <f>IFERROR(VLOOKUP($B46,Súpravy!$A$6:$Q$31,12,FALSE),0)</f>
        <v>0</v>
      </c>
      <c r="K46" s="12">
        <f>IFERROR(VLOOKUP($B46,Súpravy!$A$6:$Q$31,17,FALSE),0)</f>
        <v>0</v>
      </c>
      <c r="L46" s="12">
        <f>IFERROR(VLOOKUP($B46,Súpravy!$A$6:$Q$31,18,FALSE),0)</f>
        <v>0</v>
      </c>
      <c r="M46" s="17">
        <f t="shared" si="5"/>
        <v>0</v>
      </c>
      <c r="N46" s="93">
        <f>IF(OR(C46=53.328,M46&lt;=80%),0,D46*(Ocenenie!$E$56*(M46)*(M46)*(M46)+Ocenenie!$E$57*(M46)*(M46)+Ocenenie!$E$58*(M46)-Ocenenie!$E$60))</f>
        <v>0</v>
      </c>
    </row>
    <row r="47" spans="1:14" x14ac:dyDescent="0.25">
      <c r="A47" s="1" t="str">
        <f>Grafikon!$B36</f>
        <v>Os 4357</v>
      </c>
      <c r="B47" s="199"/>
      <c r="C47" s="2">
        <f>Grafikon!$D36</f>
        <v>26.718</v>
      </c>
      <c r="D47" s="3">
        <f>Grafikon!$H36</f>
        <v>400</v>
      </c>
      <c r="E47" s="10">
        <f>IFERROR(VLOOKUP($B47,Súpravy!$A$6:$Q$31,6,FALSE),0)</f>
        <v>0</v>
      </c>
      <c r="F47" s="31">
        <f t="shared" ref="F47:F63" si="7">MIN(E47/D47,1)</f>
        <v>0</v>
      </c>
      <c r="G47" s="10">
        <f>IFERROR(VLOOKUP($B47,Súpravy!$A$6:$Q$31,3,FALSE),0)</f>
        <v>0</v>
      </c>
      <c r="H47" s="17">
        <f t="shared" si="6"/>
        <v>0</v>
      </c>
      <c r="I47" s="12">
        <f>IFERROR(VLOOKUP($B47,Súpravy!$A$6:$Q$31,9,FALSE),0)</f>
        <v>0</v>
      </c>
      <c r="J47" s="12">
        <f>IFERROR(VLOOKUP($B47,Súpravy!$A$6:$Q$31,12,FALSE),0)</f>
        <v>0</v>
      </c>
      <c r="K47" s="12">
        <f>IFERROR(VLOOKUP($B47,Súpravy!$A$6:$Q$31,17,FALSE),0)</f>
        <v>0</v>
      </c>
      <c r="L47" s="12">
        <f>IFERROR(VLOOKUP($B47,Súpravy!$A$6:$Q$31,18,FALSE),0)</f>
        <v>0</v>
      </c>
      <c r="M47" s="17">
        <f t="shared" ref="M47:M63" si="8">IFERROR(D47/G47,0)</f>
        <v>0</v>
      </c>
      <c r="N47" s="93">
        <f>IF(OR(C47=53.328,M47&lt;=80%),0,D47*(Ocenenie!$E$56*(M47)*(M47)*(M47)+Ocenenie!$E$57*(M47)*(M47)+Ocenenie!$E$58*(M47)-Ocenenie!$E$60))</f>
        <v>0</v>
      </c>
    </row>
    <row r="48" spans="1:14" x14ac:dyDescent="0.25">
      <c r="A48" s="1" t="str">
        <f>Grafikon!$B37</f>
        <v>Zr 1781</v>
      </c>
      <c r="B48" s="199"/>
      <c r="C48" s="2">
        <f>Grafikon!$D37</f>
        <v>100.175</v>
      </c>
      <c r="D48" s="3">
        <f>Grafikon!$H37</f>
        <v>300</v>
      </c>
      <c r="E48" s="10">
        <f>IFERROR(VLOOKUP($B48,Súpravy!$A$6:$Q$31,6,FALSE),0)</f>
        <v>0</v>
      </c>
      <c r="F48" s="31">
        <f t="shared" si="7"/>
        <v>0</v>
      </c>
      <c r="G48" s="10">
        <f>IFERROR(VLOOKUP($B48,Súpravy!$A$6:$Q$31,3,FALSE),0)</f>
        <v>0</v>
      </c>
      <c r="H48" s="17">
        <f t="shared" si="6"/>
        <v>0</v>
      </c>
      <c r="I48" s="12">
        <f>IFERROR(VLOOKUP($B48,Súpravy!$A$6:$Q$31,9,FALSE),0)</f>
        <v>0</v>
      </c>
      <c r="J48" s="12">
        <f>IFERROR(VLOOKUP($B48,Súpravy!$A$6:$Q$31,12,FALSE),0)</f>
        <v>0</v>
      </c>
      <c r="K48" s="12">
        <f>IFERROR(VLOOKUP($B48,Súpravy!$A$6:$Q$31,17,FALSE),0)</f>
        <v>0</v>
      </c>
      <c r="L48" s="12">
        <f>IFERROR(VLOOKUP($B48,Súpravy!$A$6:$Q$31,18,FALSE),0)</f>
        <v>0</v>
      </c>
      <c r="M48" s="17">
        <f t="shared" si="8"/>
        <v>0</v>
      </c>
      <c r="N48" s="93">
        <f>IF(OR(C48=53.328,M48&lt;=80%),0,D48*(Ocenenie!$E$56*(M48)*(M48)*(M48)+Ocenenie!$E$57*(M48)*(M48)+Ocenenie!$E$58*(M48)-Ocenenie!$E$60))</f>
        <v>0</v>
      </c>
    </row>
    <row r="49" spans="1:14" x14ac:dyDescent="0.25">
      <c r="A49" s="1" t="str">
        <f>Grafikon!$B38</f>
        <v>Os 4323</v>
      </c>
      <c r="B49" s="199"/>
      <c r="C49" s="2">
        <f>Grafikon!$D38</f>
        <v>46.847000000000001</v>
      </c>
      <c r="D49" s="3">
        <f>Grafikon!$H38</f>
        <v>600</v>
      </c>
      <c r="E49" s="10">
        <f>IFERROR(VLOOKUP($B49,Súpravy!$A$6:$Q$31,6,FALSE),0)</f>
        <v>0</v>
      </c>
      <c r="F49" s="31">
        <f t="shared" si="7"/>
        <v>0</v>
      </c>
      <c r="G49" s="10">
        <f>IFERROR(VLOOKUP($B49,Súpravy!$A$6:$Q$31,3,FALSE),0)</f>
        <v>0</v>
      </c>
      <c r="H49" s="17">
        <f t="shared" si="6"/>
        <v>0</v>
      </c>
      <c r="I49" s="12">
        <f>IFERROR(VLOOKUP($B49,Súpravy!$A$6:$Q$31,9,FALSE),0)</f>
        <v>0</v>
      </c>
      <c r="J49" s="12">
        <f>IFERROR(VLOOKUP($B49,Súpravy!$A$6:$Q$31,12,FALSE),0)</f>
        <v>0</v>
      </c>
      <c r="K49" s="12">
        <f>IFERROR(VLOOKUP($B49,Súpravy!$A$6:$Q$31,17,FALSE),0)</f>
        <v>0</v>
      </c>
      <c r="L49" s="12">
        <f>IFERROR(VLOOKUP($B49,Súpravy!$A$6:$Q$31,18,FALSE),0)</f>
        <v>0</v>
      </c>
      <c r="M49" s="17">
        <f t="shared" si="8"/>
        <v>0</v>
      </c>
      <c r="N49" s="93">
        <f>IF(OR(C49=53.328,M49&lt;=80%),0,D49*(Ocenenie!$E$56*(M49)*(M49)*(M49)+Ocenenie!$E$57*(M49)*(M49)+Ocenenie!$E$58*(M49)-Ocenenie!$E$60))</f>
        <v>0</v>
      </c>
    </row>
    <row r="50" spans="1:14" x14ac:dyDescent="0.25">
      <c r="A50" s="1" t="str">
        <f>Grafikon!$B39</f>
        <v>Os 4359</v>
      </c>
      <c r="B50" s="199"/>
      <c r="C50" s="2">
        <f>Grafikon!$D39</f>
        <v>26.718</v>
      </c>
      <c r="D50" s="3">
        <f>Grafikon!$H39</f>
        <v>300</v>
      </c>
      <c r="E50" s="10">
        <f>IFERROR(VLOOKUP($B50,Súpravy!$A$6:$Q$31,6,FALSE),0)</f>
        <v>0</v>
      </c>
      <c r="F50" s="31">
        <f t="shared" si="7"/>
        <v>0</v>
      </c>
      <c r="G50" s="10">
        <f>IFERROR(VLOOKUP($B50,Súpravy!$A$6:$Q$31,3,FALSE),0)</f>
        <v>0</v>
      </c>
      <c r="H50" s="17">
        <f t="shared" si="6"/>
        <v>0</v>
      </c>
      <c r="I50" s="12">
        <f>IFERROR(VLOOKUP($B50,Súpravy!$A$6:$Q$31,9,FALSE),0)</f>
        <v>0</v>
      </c>
      <c r="J50" s="12">
        <f>IFERROR(VLOOKUP($B50,Súpravy!$A$6:$Q$31,12,FALSE),0)</f>
        <v>0</v>
      </c>
      <c r="K50" s="12">
        <f>IFERROR(VLOOKUP($B50,Súpravy!$A$6:$Q$31,17,FALSE),0)</f>
        <v>0</v>
      </c>
      <c r="L50" s="12">
        <f>IFERROR(VLOOKUP($B50,Súpravy!$A$6:$Q$31,18,FALSE),0)</f>
        <v>0</v>
      </c>
      <c r="M50" s="17">
        <f t="shared" si="8"/>
        <v>0</v>
      </c>
      <c r="N50" s="93">
        <f>IF(OR(C50=53.328,M50&lt;=80%),0,D50*(Ocenenie!$E$56*(M50)*(M50)*(M50)+Ocenenie!$E$57*(M50)*(M50)+Ocenenie!$E$58*(M50)-Ocenenie!$E$60))</f>
        <v>0</v>
      </c>
    </row>
    <row r="51" spans="1:14" x14ac:dyDescent="0.25">
      <c r="A51" s="1" t="str">
        <f>Grafikon!$B40</f>
        <v>Zr 1783</v>
      </c>
      <c r="B51" s="199"/>
      <c r="C51" s="2">
        <f>Grafikon!$D40</f>
        <v>46.847000000000001</v>
      </c>
      <c r="D51" s="3">
        <f>Grafikon!$H40</f>
        <v>300</v>
      </c>
      <c r="E51" s="10">
        <f>IFERROR(VLOOKUP($B51,Súpravy!$A$6:$Q$31,6,FALSE),0)</f>
        <v>0</v>
      </c>
      <c r="F51" s="31">
        <f t="shared" si="7"/>
        <v>0</v>
      </c>
      <c r="G51" s="10">
        <f>IFERROR(VLOOKUP($B51,Súpravy!$A$6:$Q$31,3,FALSE),0)</f>
        <v>0</v>
      </c>
      <c r="H51" s="17">
        <f t="shared" si="6"/>
        <v>0</v>
      </c>
      <c r="I51" s="12">
        <f>IFERROR(VLOOKUP($B51,Súpravy!$A$6:$Q$31,9,FALSE),0)</f>
        <v>0</v>
      </c>
      <c r="J51" s="12">
        <f>IFERROR(VLOOKUP($B51,Súpravy!$A$6:$Q$31,12,FALSE),0)</f>
        <v>0</v>
      </c>
      <c r="K51" s="12">
        <f>IFERROR(VLOOKUP($B51,Súpravy!$A$6:$Q$31,17,FALSE),0)</f>
        <v>0</v>
      </c>
      <c r="L51" s="12">
        <f>IFERROR(VLOOKUP($B51,Súpravy!$A$6:$Q$31,18,FALSE),0)</f>
        <v>0</v>
      </c>
      <c r="M51" s="17">
        <f t="shared" si="8"/>
        <v>0</v>
      </c>
      <c r="N51" s="93">
        <f>IF(OR(C51=53.328,M51&lt;=80%),0,D51*(Ocenenie!$E$56*(M51)*(M51)*(M51)+Ocenenie!$E$57*(M51)*(M51)+Ocenenie!$E$58*(M51)-Ocenenie!$E$60))</f>
        <v>0</v>
      </c>
    </row>
    <row r="52" spans="1:14" x14ac:dyDescent="0.25">
      <c r="A52" s="1" t="str">
        <f>Grafikon!$B41</f>
        <v>Os 4383</v>
      </c>
      <c r="B52" s="199"/>
      <c r="C52" s="2">
        <f>Grafikon!$D41</f>
        <v>53.328000000000003</v>
      </c>
      <c r="D52" s="3">
        <f>Grafikon!$H41</f>
        <v>200</v>
      </c>
      <c r="E52" s="10">
        <f>IFERROR(VLOOKUP($B52,Súpravy!$A$6:$Q$31,6,FALSE),0)</f>
        <v>0</v>
      </c>
      <c r="F52" s="31">
        <f t="shared" si="7"/>
        <v>0</v>
      </c>
      <c r="G52" s="10">
        <f>IFERROR(VLOOKUP($B52,Súpravy!$A$6:$Q$31,3,FALSE),0)</f>
        <v>0</v>
      </c>
      <c r="H52" s="17">
        <f t="shared" si="6"/>
        <v>0</v>
      </c>
      <c r="I52" s="12">
        <f>IFERROR(VLOOKUP($B52,Súpravy!$A$6:$Q$31,9,FALSE),0)</f>
        <v>0</v>
      </c>
      <c r="J52" s="12">
        <f>IFERROR(VLOOKUP($B52,Súpravy!$A$6:$Q$31,12,FALSE),0)</f>
        <v>0</v>
      </c>
      <c r="K52" s="12">
        <f>IFERROR(VLOOKUP($B52,Súpravy!$A$6:$Q$31,17,FALSE),0)</f>
        <v>0</v>
      </c>
      <c r="L52" s="12">
        <f>IFERROR(VLOOKUP($B52,Súpravy!$A$6:$Q$31,18,FALSE),0)</f>
        <v>0</v>
      </c>
      <c r="M52" s="17">
        <f t="shared" si="8"/>
        <v>0</v>
      </c>
      <c r="N52" s="93">
        <f>IF(OR(C52=53.328,M52&lt;=80%),0,D52*(Ocenenie!$E$56*(M52)*(M52)*(M52)+Ocenenie!$E$57*(M52)*(M52)+Ocenenie!$E$58*(M52)-Ocenenie!$E$60))</f>
        <v>0</v>
      </c>
    </row>
    <row r="53" spans="1:14" x14ac:dyDescent="0.25">
      <c r="A53" s="1" t="str">
        <f>Grafikon!$B42</f>
        <v>Os 4325</v>
      </c>
      <c r="B53" s="199"/>
      <c r="C53" s="2">
        <f>Grafikon!$D42</f>
        <v>46.847000000000001</v>
      </c>
      <c r="D53" s="3">
        <f>Grafikon!$H42</f>
        <v>500</v>
      </c>
      <c r="E53" s="10">
        <f>IFERROR(VLOOKUP($B53,Súpravy!$A$6:$Q$31,6,FALSE),0)</f>
        <v>0</v>
      </c>
      <c r="F53" s="31">
        <f t="shared" si="7"/>
        <v>0</v>
      </c>
      <c r="G53" s="10">
        <f>IFERROR(VLOOKUP($B53,Súpravy!$A$6:$Q$31,3,FALSE),0)</f>
        <v>0</v>
      </c>
      <c r="H53" s="17">
        <f t="shared" si="6"/>
        <v>0</v>
      </c>
      <c r="I53" s="12">
        <f>IFERROR(VLOOKUP($B53,Súpravy!$A$6:$Q$31,9,FALSE),0)</f>
        <v>0</v>
      </c>
      <c r="J53" s="12">
        <f>IFERROR(VLOOKUP($B53,Súpravy!$A$6:$Q$31,12,FALSE),0)</f>
        <v>0</v>
      </c>
      <c r="K53" s="12">
        <f>IFERROR(VLOOKUP($B53,Súpravy!$A$6:$Q$31,17,FALSE),0)</f>
        <v>0</v>
      </c>
      <c r="L53" s="12">
        <f>IFERROR(VLOOKUP($B53,Súpravy!$A$6:$Q$31,18,FALSE),0)</f>
        <v>0</v>
      </c>
      <c r="M53" s="17">
        <f t="shared" si="8"/>
        <v>0</v>
      </c>
      <c r="N53" s="93">
        <f>IF(OR(C53=53.328,M53&lt;=80%),0,D53*(Ocenenie!$E$56*(M53)*(M53)*(M53)+Ocenenie!$E$57*(M53)*(M53)+Ocenenie!$E$58*(M53)-Ocenenie!$E$60))</f>
        <v>0</v>
      </c>
    </row>
    <row r="54" spans="1:14" x14ac:dyDescent="0.25">
      <c r="A54" s="1" t="str">
        <f>Grafikon!$B43</f>
        <v>Os 4361</v>
      </c>
      <c r="B54" s="199"/>
      <c r="C54" s="2">
        <f>Grafikon!$D43</f>
        <v>26.718</v>
      </c>
      <c r="D54" s="3">
        <f>Grafikon!$H43</f>
        <v>200</v>
      </c>
      <c r="E54" s="10">
        <f>IFERROR(VLOOKUP($B54,Súpravy!$A$6:$Q$31,6,FALSE),0)</f>
        <v>0</v>
      </c>
      <c r="F54" s="31">
        <f t="shared" si="7"/>
        <v>0</v>
      </c>
      <c r="G54" s="10">
        <f>IFERROR(VLOOKUP($B54,Súpravy!$A$6:$Q$31,3,FALSE),0)</f>
        <v>0</v>
      </c>
      <c r="H54" s="17">
        <f t="shared" si="6"/>
        <v>0</v>
      </c>
      <c r="I54" s="12">
        <f>IFERROR(VLOOKUP($B54,Súpravy!$A$6:$Q$31,9,FALSE),0)</f>
        <v>0</v>
      </c>
      <c r="J54" s="12">
        <f>IFERROR(VLOOKUP($B54,Súpravy!$A$6:$Q$31,12,FALSE),0)</f>
        <v>0</v>
      </c>
      <c r="K54" s="12">
        <f>IFERROR(VLOOKUP($B54,Súpravy!$A$6:$Q$31,17,FALSE),0)</f>
        <v>0</v>
      </c>
      <c r="L54" s="12">
        <f>IFERROR(VLOOKUP($B54,Súpravy!$A$6:$Q$31,18,FALSE),0)</f>
        <v>0</v>
      </c>
      <c r="M54" s="17">
        <f t="shared" si="8"/>
        <v>0</v>
      </c>
      <c r="N54" s="93">
        <f>IF(OR(C54=53.328,M54&lt;=80%),0,D54*(Ocenenie!$E$56*(M54)*(M54)*(M54)+Ocenenie!$E$57*(M54)*(M54)+Ocenenie!$E$58*(M54)-Ocenenie!$E$60))</f>
        <v>0</v>
      </c>
    </row>
    <row r="55" spans="1:14" x14ac:dyDescent="0.25">
      <c r="A55" s="1" t="str">
        <f>Grafikon!$B44</f>
        <v>Zr 1785</v>
      </c>
      <c r="B55" s="199"/>
      <c r="C55" s="2">
        <f>Grafikon!$D44</f>
        <v>100.175</v>
      </c>
      <c r="D55" s="3">
        <f>Grafikon!$H44</f>
        <v>200</v>
      </c>
      <c r="E55" s="10">
        <f>IFERROR(VLOOKUP($B55,Súpravy!$A$6:$Q$31,6,FALSE),0)</f>
        <v>0</v>
      </c>
      <c r="F55" s="31">
        <f t="shared" si="7"/>
        <v>0</v>
      </c>
      <c r="G55" s="10">
        <f>IFERROR(VLOOKUP($B55,Súpravy!$A$6:$Q$31,3,FALSE),0)</f>
        <v>0</v>
      </c>
      <c r="H55" s="17">
        <f t="shared" si="6"/>
        <v>0</v>
      </c>
      <c r="I55" s="12">
        <f>IFERROR(VLOOKUP($B55,Súpravy!$A$6:$Q$31,9,FALSE),0)</f>
        <v>0</v>
      </c>
      <c r="J55" s="12">
        <f>IFERROR(VLOOKUP($B55,Súpravy!$A$6:$Q$31,12,FALSE),0)</f>
        <v>0</v>
      </c>
      <c r="K55" s="12">
        <f>IFERROR(VLOOKUP($B55,Súpravy!$A$6:$Q$31,17,FALSE),0)</f>
        <v>0</v>
      </c>
      <c r="L55" s="12">
        <f>IFERROR(VLOOKUP($B55,Súpravy!$A$6:$Q$31,18,FALSE),0)</f>
        <v>0</v>
      </c>
      <c r="M55" s="17">
        <f t="shared" si="8"/>
        <v>0</v>
      </c>
      <c r="N55" s="93">
        <f>IF(OR(C55=53.328,M55&lt;=80%),0,D55*(Ocenenie!$E$56*(M55)*(M55)*(M55)+Ocenenie!$E$57*(M55)*(M55)+Ocenenie!$E$58*(M55)-Ocenenie!$E$60))</f>
        <v>0</v>
      </c>
    </row>
    <row r="56" spans="1:14" x14ac:dyDescent="0.25">
      <c r="A56" s="1" t="str">
        <f>Grafikon!$B45</f>
        <v>Os 4327</v>
      </c>
      <c r="B56" s="199"/>
      <c r="C56" s="2">
        <f>Grafikon!$D45</f>
        <v>46.847000000000001</v>
      </c>
      <c r="D56" s="3">
        <f>Grafikon!$H45</f>
        <v>300</v>
      </c>
      <c r="E56" s="10">
        <f>IFERROR(VLOOKUP($B56,Súpravy!$A$6:$Q$31,6,FALSE),0)</f>
        <v>0</v>
      </c>
      <c r="F56" s="31">
        <f t="shared" si="7"/>
        <v>0</v>
      </c>
      <c r="G56" s="10">
        <f>IFERROR(VLOOKUP($B56,Súpravy!$A$6:$Q$31,3,FALSE),0)</f>
        <v>0</v>
      </c>
      <c r="H56" s="17">
        <f t="shared" si="6"/>
        <v>0</v>
      </c>
      <c r="I56" s="12">
        <f>IFERROR(VLOOKUP($B56,Súpravy!$A$6:$Q$31,9,FALSE),0)</f>
        <v>0</v>
      </c>
      <c r="J56" s="12">
        <f>IFERROR(VLOOKUP($B56,Súpravy!$A$6:$Q$31,12,FALSE),0)</f>
        <v>0</v>
      </c>
      <c r="K56" s="12">
        <f>IFERROR(VLOOKUP($B56,Súpravy!$A$6:$Q$31,17,FALSE),0)</f>
        <v>0</v>
      </c>
      <c r="L56" s="12">
        <f>IFERROR(VLOOKUP($B56,Súpravy!$A$6:$Q$31,18,FALSE),0)</f>
        <v>0</v>
      </c>
      <c r="M56" s="17">
        <f t="shared" si="8"/>
        <v>0</v>
      </c>
      <c r="N56" s="93">
        <f>IF(OR(C56=53.328,M56&lt;=80%),0,D56*(Ocenenie!$E$56*(M56)*(M56)*(M56)+Ocenenie!$E$57*(M56)*(M56)+Ocenenie!$E$58*(M56)-Ocenenie!$E$60))</f>
        <v>0</v>
      </c>
    </row>
    <row r="57" spans="1:14" x14ac:dyDescent="0.25">
      <c r="A57" s="1" t="str">
        <f>Grafikon!$B46</f>
        <v>Os 4363</v>
      </c>
      <c r="B57" s="199"/>
      <c r="C57" s="2">
        <f>Grafikon!$D46</f>
        <v>26.718</v>
      </c>
      <c r="D57" s="3">
        <f>Grafikon!$H46</f>
        <v>200</v>
      </c>
      <c r="E57" s="10">
        <f>IFERROR(VLOOKUP($B57,Súpravy!$A$6:$Q$31,6,FALSE),0)</f>
        <v>0</v>
      </c>
      <c r="F57" s="31">
        <f t="shared" si="7"/>
        <v>0</v>
      </c>
      <c r="G57" s="10">
        <f>IFERROR(VLOOKUP($B57,Súpravy!$A$6:$Q$31,3,FALSE),0)</f>
        <v>0</v>
      </c>
      <c r="H57" s="17">
        <f t="shared" si="6"/>
        <v>0</v>
      </c>
      <c r="I57" s="12">
        <f>IFERROR(VLOOKUP($B57,Súpravy!$A$6:$Q$31,9,FALSE),0)</f>
        <v>0</v>
      </c>
      <c r="J57" s="12">
        <f>IFERROR(VLOOKUP($B57,Súpravy!$A$6:$Q$31,12,FALSE),0)</f>
        <v>0</v>
      </c>
      <c r="K57" s="12">
        <f>IFERROR(VLOOKUP($B57,Súpravy!$A$6:$Q$31,17,FALSE),0)</f>
        <v>0</v>
      </c>
      <c r="L57" s="12">
        <f>IFERROR(VLOOKUP($B57,Súpravy!$A$6:$Q$31,18,FALSE),0)</f>
        <v>0</v>
      </c>
      <c r="M57" s="17">
        <f t="shared" si="8"/>
        <v>0</v>
      </c>
      <c r="N57" s="93">
        <f>IF(OR(C57=53.328,M57&lt;=80%),0,D57*(Ocenenie!$E$56*(M57)*(M57)*(M57)+Ocenenie!$E$57*(M57)*(M57)+Ocenenie!$E$58*(M57)-Ocenenie!$E$60))</f>
        <v>0</v>
      </c>
    </row>
    <row r="58" spans="1:14" x14ac:dyDescent="0.25">
      <c r="A58" s="1" t="str">
        <f>Grafikon!$B47</f>
        <v>Zr 1787</v>
      </c>
      <c r="B58" s="199"/>
      <c r="C58" s="2">
        <f>Grafikon!$D47</f>
        <v>46.847000000000001</v>
      </c>
      <c r="D58" s="3">
        <f>Grafikon!$H47</f>
        <v>200</v>
      </c>
      <c r="E58" s="10">
        <f>IFERROR(VLOOKUP($B58,Súpravy!$A$6:$Q$31,6,FALSE),0)</f>
        <v>0</v>
      </c>
      <c r="F58" s="31">
        <f t="shared" si="7"/>
        <v>0</v>
      </c>
      <c r="G58" s="10">
        <f>IFERROR(VLOOKUP($B58,Súpravy!$A$6:$Q$31,3,FALSE),0)</f>
        <v>0</v>
      </c>
      <c r="H58" s="17">
        <f t="shared" si="6"/>
        <v>0</v>
      </c>
      <c r="I58" s="12">
        <f>IFERROR(VLOOKUP($B58,Súpravy!$A$6:$Q$31,9,FALSE),0)</f>
        <v>0</v>
      </c>
      <c r="J58" s="12">
        <f>IFERROR(VLOOKUP($B58,Súpravy!$A$6:$Q$31,12,FALSE),0)</f>
        <v>0</v>
      </c>
      <c r="K58" s="12">
        <f>IFERROR(VLOOKUP($B58,Súpravy!$A$6:$Q$31,17,FALSE),0)</f>
        <v>0</v>
      </c>
      <c r="L58" s="12">
        <f>IFERROR(VLOOKUP($B58,Súpravy!$A$6:$Q$31,18,FALSE),0)</f>
        <v>0</v>
      </c>
      <c r="M58" s="17">
        <f t="shared" si="8"/>
        <v>0</v>
      </c>
      <c r="N58" s="93">
        <f>IF(OR(C58=53.328,M58&lt;=80%),0,D58*(Ocenenie!$E$56*(M58)*(M58)*(M58)+Ocenenie!$E$57*(M58)*(M58)+Ocenenie!$E$58*(M58)-Ocenenie!$E$60))</f>
        <v>0</v>
      </c>
    </row>
    <row r="59" spans="1:14" x14ac:dyDescent="0.25">
      <c r="A59" s="1" t="str">
        <f>Grafikon!$B48</f>
        <v>Os 4329</v>
      </c>
      <c r="B59" s="199"/>
      <c r="C59" s="2">
        <f>Grafikon!$D48</f>
        <v>46.847000000000001</v>
      </c>
      <c r="D59" s="3">
        <f>Grafikon!$H48</f>
        <v>200</v>
      </c>
      <c r="E59" s="10">
        <f>IFERROR(VLOOKUP($B59,Súpravy!$A$6:$Q$31,6,FALSE),0)</f>
        <v>0</v>
      </c>
      <c r="F59" s="31">
        <f t="shared" si="7"/>
        <v>0</v>
      </c>
      <c r="G59" s="10">
        <f>IFERROR(VLOOKUP($B59,Súpravy!$A$6:$Q$31,3,FALSE),0)</f>
        <v>0</v>
      </c>
      <c r="H59" s="17">
        <f t="shared" si="6"/>
        <v>0</v>
      </c>
      <c r="I59" s="12">
        <f>IFERROR(VLOOKUP($B59,Súpravy!$A$6:$Q$31,9,FALSE),0)</f>
        <v>0</v>
      </c>
      <c r="J59" s="12">
        <f>IFERROR(VLOOKUP($B59,Súpravy!$A$6:$Q$31,12,FALSE),0)</f>
        <v>0</v>
      </c>
      <c r="K59" s="12">
        <f>IFERROR(VLOOKUP($B59,Súpravy!$A$6:$Q$31,17,FALSE),0)</f>
        <v>0</v>
      </c>
      <c r="L59" s="12">
        <f>IFERROR(VLOOKUP($B59,Súpravy!$A$6:$Q$31,18,FALSE),0)</f>
        <v>0</v>
      </c>
      <c r="M59" s="17">
        <f t="shared" si="8"/>
        <v>0</v>
      </c>
      <c r="N59" s="93">
        <f>IF(OR(C59=53.328,M59&lt;=80%),0,D59*(Ocenenie!$E$56*(M59)*(M59)*(M59)+Ocenenie!$E$57*(M59)*(M59)+Ocenenie!$E$58*(M59)-Ocenenie!$E$60))</f>
        <v>0</v>
      </c>
    </row>
    <row r="60" spans="1:14" x14ac:dyDescent="0.25">
      <c r="A60" s="1" t="str">
        <f>Grafikon!$B49</f>
        <v>Zr 1789</v>
      </c>
      <c r="B60" s="199"/>
      <c r="C60" s="2">
        <f>Grafikon!$D49</f>
        <v>100.175</v>
      </c>
      <c r="D60" s="3">
        <f>Grafikon!$H49</f>
        <v>100</v>
      </c>
      <c r="E60" s="10">
        <f>IFERROR(VLOOKUP($B60,Súpravy!$A$6:$Q$31,6,FALSE),0)</f>
        <v>0</v>
      </c>
      <c r="F60" s="31">
        <f t="shared" si="7"/>
        <v>0</v>
      </c>
      <c r="G60" s="10">
        <f>IFERROR(VLOOKUP($B60,Súpravy!$A$6:$Q$31,3,FALSE),0)</f>
        <v>0</v>
      </c>
      <c r="H60" s="17">
        <f t="shared" si="6"/>
        <v>0</v>
      </c>
      <c r="I60" s="12">
        <f>IFERROR(VLOOKUP($B60,Súpravy!$A$6:$Q$31,9,FALSE),0)</f>
        <v>0</v>
      </c>
      <c r="J60" s="12">
        <f>IFERROR(VLOOKUP($B60,Súpravy!$A$6:$Q$31,12,FALSE),0)</f>
        <v>0</v>
      </c>
      <c r="K60" s="12">
        <f>IFERROR(VLOOKUP($B60,Súpravy!$A$6:$Q$31,17,FALSE),0)</f>
        <v>0</v>
      </c>
      <c r="L60" s="12">
        <f>IFERROR(VLOOKUP($B60,Súpravy!$A$6:$Q$31,18,FALSE),0)</f>
        <v>0</v>
      </c>
      <c r="M60" s="17">
        <f t="shared" si="8"/>
        <v>0</v>
      </c>
      <c r="N60" s="93">
        <f>IF(OR(C60=53.328,M60&lt;=80%),0,D60*(Ocenenie!$E$56*(M60)*(M60)*(M60)+Ocenenie!$E$57*(M60)*(M60)+Ocenenie!$E$58*(M60)-Ocenenie!$E$60))</f>
        <v>0</v>
      </c>
    </row>
    <row r="61" spans="1:14" x14ac:dyDescent="0.25">
      <c r="A61" s="1" t="str">
        <f>Grafikon!$B50</f>
        <v>Os 4331</v>
      </c>
      <c r="B61" s="199"/>
      <c r="C61" s="2">
        <f>Grafikon!$D50</f>
        <v>46.847000000000001</v>
      </c>
      <c r="D61" s="3">
        <f>Grafikon!$H50</f>
        <v>200</v>
      </c>
      <c r="E61" s="10">
        <f>IFERROR(VLOOKUP($B61,Súpravy!$A$6:$Q$31,6,FALSE),0)</f>
        <v>0</v>
      </c>
      <c r="F61" s="31">
        <f t="shared" si="7"/>
        <v>0</v>
      </c>
      <c r="G61" s="10">
        <f>IFERROR(VLOOKUP($B61,Súpravy!$A$6:$Q$31,3,FALSE),0)</f>
        <v>0</v>
      </c>
      <c r="H61" s="17">
        <f t="shared" si="6"/>
        <v>0</v>
      </c>
      <c r="I61" s="12">
        <f>IFERROR(VLOOKUP($B61,Súpravy!$A$6:$Q$31,9,FALSE),0)</f>
        <v>0</v>
      </c>
      <c r="J61" s="12">
        <f>IFERROR(VLOOKUP($B61,Súpravy!$A$6:$Q$31,12,FALSE),0)</f>
        <v>0</v>
      </c>
      <c r="K61" s="12">
        <f>IFERROR(VLOOKUP($B61,Súpravy!$A$6:$Q$31,17,FALSE),0)</f>
        <v>0</v>
      </c>
      <c r="L61" s="12">
        <f>IFERROR(VLOOKUP($B61,Súpravy!$A$6:$Q$31,18,FALSE),0)</f>
        <v>0</v>
      </c>
      <c r="M61" s="17">
        <f t="shared" si="8"/>
        <v>0</v>
      </c>
      <c r="N61" s="93">
        <f>IF(OR(C61=53.328,M61&lt;=80%),0,D61*(Ocenenie!$E$56*(M61)*(M61)*(M61)+Ocenenie!$E$57*(M61)*(M61)+Ocenenie!$E$58*(M61)-Ocenenie!$E$60))</f>
        <v>0</v>
      </c>
    </row>
    <row r="62" spans="1:14" x14ac:dyDescent="0.25">
      <c r="A62" s="1" t="str">
        <f>Grafikon!$B51</f>
        <v>Os 4333</v>
      </c>
      <c r="B62" s="199"/>
      <c r="C62" s="2">
        <f>Grafikon!$D51</f>
        <v>46.847000000000001</v>
      </c>
      <c r="D62" s="3">
        <f>Grafikon!$H51</f>
        <v>200</v>
      </c>
      <c r="E62" s="10">
        <f>IFERROR(VLOOKUP($B62,Súpravy!$A$6:$Q$31,6,FALSE),0)</f>
        <v>0</v>
      </c>
      <c r="F62" s="31">
        <f t="shared" si="7"/>
        <v>0</v>
      </c>
      <c r="G62" s="10">
        <f>IFERROR(VLOOKUP($B62,Súpravy!$A$6:$Q$31,3,FALSE),0)</f>
        <v>0</v>
      </c>
      <c r="H62" s="17">
        <f t="shared" si="6"/>
        <v>0</v>
      </c>
      <c r="I62" s="12">
        <f>IFERROR(VLOOKUP($B62,Súpravy!$A$6:$Q$31,9,FALSE),0)</f>
        <v>0</v>
      </c>
      <c r="J62" s="12">
        <f>IFERROR(VLOOKUP($B62,Súpravy!$A$6:$Q$31,12,FALSE),0)</f>
        <v>0</v>
      </c>
      <c r="K62" s="12">
        <f>IFERROR(VLOOKUP($B62,Súpravy!$A$6:$Q$31,17,FALSE),0)</f>
        <v>0</v>
      </c>
      <c r="L62" s="12">
        <f>IFERROR(VLOOKUP($B62,Súpravy!$A$6:$Q$31,18,FALSE),0)</f>
        <v>0</v>
      </c>
      <c r="M62" s="17">
        <f t="shared" si="8"/>
        <v>0</v>
      </c>
      <c r="N62" s="93">
        <f>IF(OR(C62=53.328,M62&lt;=80%),0,D62*(Ocenenie!$E$56*(M62)*(M62)*(M62)+Ocenenie!$E$57*(M62)*(M62)+Ocenenie!$E$58*(M62)-Ocenenie!$E$60))</f>
        <v>0</v>
      </c>
    </row>
    <row r="63" spans="1:14" x14ac:dyDescent="0.25">
      <c r="A63" s="1" t="str">
        <f>Grafikon!$B52</f>
        <v>Os 4335</v>
      </c>
      <c r="B63" s="199"/>
      <c r="C63" s="2">
        <f>Grafikon!$D52</f>
        <v>46.847000000000001</v>
      </c>
      <c r="D63" s="3">
        <f>Grafikon!$H52</f>
        <v>200</v>
      </c>
      <c r="E63" s="10">
        <f>IFERROR(VLOOKUP($B63,Súpravy!$A$6:$Q$31,6,FALSE),0)</f>
        <v>0</v>
      </c>
      <c r="F63" s="31">
        <f t="shared" si="7"/>
        <v>0</v>
      </c>
      <c r="G63" s="10">
        <f>IFERROR(VLOOKUP($B63,Súpravy!$A$6:$Q$31,3,FALSE),0)</f>
        <v>0</v>
      </c>
      <c r="H63" s="17">
        <f t="shared" si="6"/>
        <v>0</v>
      </c>
      <c r="I63" s="12">
        <f>IFERROR(VLOOKUP($B63,Súpravy!$A$6:$Q$31,9,FALSE),0)</f>
        <v>0</v>
      </c>
      <c r="J63" s="12">
        <f>IFERROR(VLOOKUP($B63,Súpravy!$A$6:$Q$31,12,FALSE),0)</f>
        <v>0</v>
      </c>
      <c r="K63" s="12">
        <f>IFERROR(VLOOKUP($B63,Súpravy!$A$6:$Q$31,17,FALSE),0)</f>
        <v>0</v>
      </c>
      <c r="L63" s="12">
        <f>IFERROR(VLOOKUP($B63,Súpravy!$A$6:$Q$31,18,FALSE),0)</f>
        <v>0</v>
      </c>
      <c r="M63" s="17">
        <f t="shared" si="8"/>
        <v>0</v>
      </c>
      <c r="N63" s="93">
        <f>IF(OR(C63=53.328,M63&lt;=80%),0,D63*(Ocenenie!$E$56*(M63)*(M63)*(M63)+Ocenenie!$E$57*(M63)*(M63)+Ocenenie!$E$58*(M63)-Ocenenie!$E$60))</f>
        <v>0</v>
      </c>
    </row>
    <row r="64" spans="1:14" ht="18" customHeight="1" x14ac:dyDescent="0.25">
      <c r="A64" s="13" t="s">
        <v>136</v>
      </c>
    </row>
    <row r="65" spans="1:14" x14ac:dyDescent="0.25">
      <c r="A65" s="1" t="str">
        <f>Grafikon!$B54</f>
        <v>Os 4300</v>
      </c>
      <c r="B65" s="199"/>
      <c r="C65" s="2">
        <f>Grafikon!$D54</f>
        <v>46.847000000000001</v>
      </c>
      <c r="D65" s="3">
        <f>Grafikon!$H54</f>
        <v>300</v>
      </c>
      <c r="E65" s="10">
        <f>IFERROR(VLOOKUP($B65,Súpravy!$A$6:$Q$31,6,FALSE),0)</f>
        <v>0</v>
      </c>
      <c r="F65" s="31">
        <f t="shared" ref="F65:F96" si="9">MIN(E65/D65,1)</f>
        <v>0</v>
      </c>
      <c r="G65" s="10">
        <f>IFERROR(VLOOKUP($B65,Súpravy!$A$6:$Q$31,3,FALSE),0)</f>
        <v>0</v>
      </c>
      <c r="H65" s="17">
        <f t="shared" si="6"/>
        <v>0</v>
      </c>
      <c r="I65" s="12">
        <f>IFERROR(VLOOKUP($B65,Súpravy!$A$6:$Q$31,9,FALSE),0)</f>
        <v>0</v>
      </c>
      <c r="J65" s="12">
        <f>IFERROR(VLOOKUP($B65,Súpravy!$A$6:$Q$31,12,FALSE),0)</f>
        <v>0</v>
      </c>
      <c r="K65" s="12">
        <f>IFERROR(VLOOKUP($B65,Súpravy!$A$6:$Q$31,17,FALSE),0)</f>
        <v>0</v>
      </c>
      <c r="L65" s="12">
        <f>IFERROR(VLOOKUP($B65,Súpravy!$A$6:$Q$31,18,FALSE),0)</f>
        <v>0</v>
      </c>
      <c r="M65" s="17">
        <f t="shared" ref="M65:M96" si="10">IFERROR(D65/G65,0)</f>
        <v>0</v>
      </c>
      <c r="N65" s="93">
        <f>IF(OR(C65=53.328,M65&lt;=80%),0,D65*(Ocenenie!$E$56*(M65)*(M65)*(M65)+Ocenenie!$E$57*(M65)*(M65)+Ocenenie!$E$58*(M65)-Ocenenie!$E$60))</f>
        <v>0</v>
      </c>
    </row>
    <row r="66" spans="1:14" x14ac:dyDescent="0.25">
      <c r="A66" s="1" t="str">
        <f>Grafikon!$B55</f>
        <v>Os 4340</v>
      </c>
      <c r="B66" s="199"/>
      <c r="C66" s="2">
        <f>Grafikon!$D55</f>
        <v>26.718</v>
      </c>
      <c r="D66" s="3">
        <f>Grafikon!$H55</f>
        <v>200</v>
      </c>
      <c r="E66" s="10">
        <f>IFERROR(VLOOKUP($B66,Súpravy!$A$6:$Q$31,6,FALSE),0)</f>
        <v>0</v>
      </c>
      <c r="F66" s="31">
        <f t="shared" si="9"/>
        <v>0</v>
      </c>
      <c r="G66" s="10">
        <f>IFERROR(VLOOKUP($B66,Súpravy!$A$6:$Q$31,3,FALSE),0)</f>
        <v>0</v>
      </c>
      <c r="H66" s="17">
        <f t="shared" si="6"/>
        <v>0</v>
      </c>
      <c r="I66" s="12">
        <f>IFERROR(VLOOKUP($B66,Súpravy!$A$6:$Q$31,9,FALSE),0)</f>
        <v>0</v>
      </c>
      <c r="J66" s="12">
        <f>IFERROR(VLOOKUP($B66,Súpravy!$A$6:$Q$31,12,FALSE),0)</f>
        <v>0</v>
      </c>
      <c r="K66" s="12">
        <f>IFERROR(VLOOKUP($B66,Súpravy!$A$6:$Q$31,17,FALSE),0)</f>
        <v>0</v>
      </c>
      <c r="L66" s="12">
        <f>IFERROR(VLOOKUP($B66,Súpravy!$A$6:$Q$31,18,FALSE),0)</f>
        <v>0</v>
      </c>
      <c r="M66" s="17">
        <f t="shared" si="10"/>
        <v>0</v>
      </c>
      <c r="N66" s="93">
        <f>IF(OR(C66=53.328,M66&lt;=80%),0,D66*(Ocenenie!$E$56*(M66)*(M66)*(M66)+Ocenenie!$E$57*(M66)*(M66)+Ocenenie!$E$58*(M66)-Ocenenie!$E$60))</f>
        <v>0</v>
      </c>
    </row>
    <row r="67" spans="1:14" x14ac:dyDescent="0.25">
      <c r="A67" s="1" t="str">
        <f>Grafikon!$B56</f>
        <v>Zr 1760</v>
      </c>
      <c r="B67" s="199"/>
      <c r="C67" s="2">
        <f>Grafikon!$D56</f>
        <v>100.175</v>
      </c>
      <c r="D67" s="3">
        <f>Grafikon!$H56</f>
        <v>300</v>
      </c>
      <c r="E67" s="10">
        <f>IFERROR(VLOOKUP($B67,Súpravy!$A$6:$Q$31,6,FALSE),0)</f>
        <v>0</v>
      </c>
      <c r="F67" s="31">
        <f t="shared" si="9"/>
        <v>0</v>
      </c>
      <c r="G67" s="10">
        <f>IFERROR(VLOOKUP($B67,Súpravy!$A$6:$Q$31,3,FALSE),0)</f>
        <v>0</v>
      </c>
      <c r="H67" s="17">
        <f t="shared" si="6"/>
        <v>0</v>
      </c>
      <c r="I67" s="12">
        <f>IFERROR(VLOOKUP($B67,Súpravy!$A$6:$Q$31,9,FALSE),0)</f>
        <v>0</v>
      </c>
      <c r="J67" s="12">
        <f>IFERROR(VLOOKUP($B67,Súpravy!$A$6:$Q$31,12,FALSE),0)</f>
        <v>0</v>
      </c>
      <c r="K67" s="12">
        <f>IFERROR(VLOOKUP($B67,Súpravy!$A$6:$Q$31,17,FALSE),0)</f>
        <v>0</v>
      </c>
      <c r="L67" s="12">
        <f>IFERROR(VLOOKUP($B67,Súpravy!$A$6:$Q$31,18,FALSE),0)</f>
        <v>0</v>
      </c>
      <c r="M67" s="17">
        <f t="shared" si="10"/>
        <v>0</v>
      </c>
      <c r="N67" s="93">
        <f>IF(OR(C67=53.328,M67&lt;=80%),0,D67*(Ocenenie!$E$56*(M67)*(M67)*(M67)+Ocenenie!$E$57*(M67)*(M67)+Ocenenie!$E$58*(M67)-Ocenenie!$E$60))</f>
        <v>0</v>
      </c>
    </row>
    <row r="68" spans="1:14" x14ac:dyDescent="0.25">
      <c r="A68" s="1" t="str">
        <f>Grafikon!$B57</f>
        <v>Os 4342</v>
      </c>
      <c r="B68" s="199"/>
      <c r="C68" s="2">
        <f>Grafikon!$D57</f>
        <v>26.718</v>
      </c>
      <c r="D68" s="3">
        <f>Grafikon!$H57</f>
        <v>300</v>
      </c>
      <c r="E68" s="10">
        <f>IFERROR(VLOOKUP($B68,Súpravy!$A$6:$Q$31,6,FALSE),0)</f>
        <v>0</v>
      </c>
      <c r="F68" s="31">
        <f t="shared" si="9"/>
        <v>0</v>
      </c>
      <c r="G68" s="10">
        <f>IFERROR(VLOOKUP($B68,Súpravy!$A$6:$Q$31,3,FALSE),0)</f>
        <v>0</v>
      </c>
      <c r="H68" s="17">
        <f t="shared" si="6"/>
        <v>0</v>
      </c>
      <c r="I68" s="12">
        <f>IFERROR(VLOOKUP($B68,Súpravy!$A$6:$Q$31,9,FALSE),0)</f>
        <v>0</v>
      </c>
      <c r="J68" s="12">
        <f>IFERROR(VLOOKUP($B68,Súpravy!$A$6:$Q$31,12,FALSE),0)</f>
        <v>0</v>
      </c>
      <c r="K68" s="12">
        <f>IFERROR(VLOOKUP($B68,Súpravy!$A$6:$Q$31,17,FALSE),0)</f>
        <v>0</v>
      </c>
      <c r="L68" s="12">
        <f>IFERROR(VLOOKUP($B68,Súpravy!$A$6:$Q$31,18,FALSE),0)</f>
        <v>0</v>
      </c>
      <c r="M68" s="17">
        <f t="shared" si="10"/>
        <v>0</v>
      </c>
      <c r="N68" s="93">
        <f>IF(OR(C68=53.328,M68&lt;=80%),0,D68*(Ocenenie!$E$56*(M68)*(M68)*(M68)+Ocenenie!$E$57*(M68)*(M68)+Ocenenie!$E$58*(M68)-Ocenenie!$E$60))</f>
        <v>0</v>
      </c>
    </row>
    <row r="69" spans="1:14" x14ac:dyDescent="0.25">
      <c r="A69" s="1" t="str">
        <f>Grafikon!$B58</f>
        <v>Os 4302</v>
      </c>
      <c r="B69" s="199"/>
      <c r="C69" s="2">
        <f>Grafikon!$D58</f>
        <v>46.847000000000001</v>
      </c>
      <c r="D69" s="3">
        <f>Grafikon!$H58</f>
        <v>800</v>
      </c>
      <c r="E69" s="10">
        <f>IFERROR(VLOOKUP($B69,Súpravy!$A$6:$Q$31,6,FALSE),0)</f>
        <v>0</v>
      </c>
      <c r="F69" s="31">
        <f t="shared" si="9"/>
        <v>0</v>
      </c>
      <c r="G69" s="10">
        <f>IFERROR(VLOOKUP($B69,Súpravy!$A$6:$Q$31,3,FALSE),0)</f>
        <v>0</v>
      </c>
      <c r="H69" s="17">
        <f t="shared" si="6"/>
        <v>0</v>
      </c>
      <c r="I69" s="12">
        <f>IFERROR(VLOOKUP($B69,Súpravy!$A$6:$Q$31,9,FALSE),0)</f>
        <v>0</v>
      </c>
      <c r="J69" s="12">
        <f>IFERROR(VLOOKUP($B69,Súpravy!$A$6:$Q$31,12,FALSE),0)</f>
        <v>0</v>
      </c>
      <c r="K69" s="12">
        <f>IFERROR(VLOOKUP($B69,Súpravy!$A$6:$Q$31,17,FALSE),0)</f>
        <v>0</v>
      </c>
      <c r="L69" s="12">
        <f>IFERROR(VLOOKUP($B69,Súpravy!$A$6:$Q$31,18,FALSE),0)</f>
        <v>0</v>
      </c>
      <c r="M69" s="17">
        <f t="shared" si="10"/>
        <v>0</v>
      </c>
      <c r="N69" s="93">
        <f>IF(OR(C69=53.328,M69&lt;=80%),0,D69*(Ocenenie!$E$56*(M69)*(M69)*(M69)+Ocenenie!$E$57*(M69)*(M69)+Ocenenie!$E$58*(M69)-Ocenenie!$E$60))</f>
        <v>0</v>
      </c>
    </row>
    <row r="70" spans="1:14" x14ac:dyDescent="0.25">
      <c r="A70" s="1" t="str">
        <f>Grafikon!$B59</f>
        <v>Os 4372</v>
      </c>
      <c r="B70" s="199"/>
      <c r="C70" s="2">
        <f>Grafikon!$D59</f>
        <v>53.328000000000003</v>
      </c>
      <c r="D70" s="3">
        <f>Grafikon!$H59</f>
        <v>200</v>
      </c>
      <c r="E70" s="10">
        <f>IFERROR(VLOOKUP($B70,Súpravy!$A$6:$Q$31,6,FALSE),0)</f>
        <v>0</v>
      </c>
      <c r="F70" s="31">
        <f t="shared" si="9"/>
        <v>0</v>
      </c>
      <c r="G70" s="10">
        <f>IFERROR(VLOOKUP($B70,Súpravy!$A$6:$Q$31,3,FALSE),0)</f>
        <v>0</v>
      </c>
      <c r="H70" s="17">
        <f t="shared" si="6"/>
        <v>0</v>
      </c>
      <c r="I70" s="12">
        <f>IFERROR(VLOOKUP($B70,Súpravy!$A$6:$Q$31,9,FALSE),0)</f>
        <v>0</v>
      </c>
      <c r="J70" s="12">
        <f>IFERROR(VLOOKUP($B70,Súpravy!$A$6:$Q$31,12,FALSE),0)</f>
        <v>0</v>
      </c>
      <c r="K70" s="12">
        <f>IFERROR(VLOOKUP($B70,Súpravy!$A$6:$Q$31,17,FALSE),0)</f>
        <v>0</v>
      </c>
      <c r="L70" s="12">
        <f>IFERROR(VLOOKUP($B70,Súpravy!$A$6:$Q$31,18,FALSE),0)</f>
        <v>0</v>
      </c>
      <c r="M70" s="17">
        <f t="shared" si="10"/>
        <v>0</v>
      </c>
      <c r="N70" s="93">
        <f>IF(OR(C70=53.328,M70&lt;=80%),0,D70*(Ocenenie!$E$56*(M70)*(M70)*(M70)+Ocenenie!$E$57*(M70)*(M70)+Ocenenie!$E$58*(M70)-Ocenenie!$E$60))</f>
        <v>0</v>
      </c>
    </row>
    <row r="71" spans="1:14" x14ac:dyDescent="0.25">
      <c r="A71" s="1" t="str">
        <f>Grafikon!$B60</f>
        <v>Zr 1762</v>
      </c>
      <c r="B71" s="199"/>
      <c r="C71" s="2">
        <f>Grafikon!$D60</f>
        <v>46.847000000000001</v>
      </c>
      <c r="D71" s="3">
        <f>Grafikon!$H60</f>
        <v>400</v>
      </c>
      <c r="E71" s="10">
        <f>IFERROR(VLOOKUP($B71,Súpravy!$A$6:$Q$31,6,FALSE),0)</f>
        <v>0</v>
      </c>
      <c r="F71" s="31">
        <f t="shared" si="9"/>
        <v>0</v>
      </c>
      <c r="G71" s="10">
        <f>IFERROR(VLOOKUP($B71,Súpravy!$A$6:$Q$31,3,FALSE),0)</f>
        <v>0</v>
      </c>
      <c r="H71" s="17">
        <f t="shared" si="6"/>
        <v>0</v>
      </c>
      <c r="I71" s="12">
        <f>IFERROR(VLOOKUP($B71,Súpravy!$A$6:$Q$31,9,FALSE),0)</f>
        <v>0</v>
      </c>
      <c r="J71" s="12">
        <f>IFERROR(VLOOKUP($B71,Súpravy!$A$6:$Q$31,12,FALSE),0)</f>
        <v>0</v>
      </c>
      <c r="K71" s="12">
        <f>IFERROR(VLOOKUP($B71,Súpravy!$A$6:$Q$31,17,FALSE),0)</f>
        <v>0</v>
      </c>
      <c r="L71" s="12">
        <f>IFERROR(VLOOKUP($B71,Súpravy!$A$6:$Q$31,18,FALSE),0)</f>
        <v>0</v>
      </c>
      <c r="M71" s="17">
        <f t="shared" si="10"/>
        <v>0</v>
      </c>
      <c r="N71" s="93">
        <f>IF(OR(C71=53.328,M71&lt;=80%),0,D71*(Ocenenie!$E$56*(M71)*(M71)*(M71)+Ocenenie!$E$57*(M71)*(M71)+Ocenenie!$E$58*(M71)-Ocenenie!$E$60))</f>
        <v>0</v>
      </c>
    </row>
    <row r="72" spans="1:14" x14ac:dyDescent="0.25">
      <c r="A72" s="1" t="str">
        <f>Grafikon!$B61</f>
        <v>Os 4344</v>
      </c>
      <c r="B72" s="199"/>
      <c r="C72" s="2">
        <f>Grafikon!$D61</f>
        <v>26.718</v>
      </c>
      <c r="D72" s="3">
        <f>Grafikon!$H61</f>
        <v>600</v>
      </c>
      <c r="E72" s="10">
        <f>IFERROR(VLOOKUP($B72,Súpravy!$A$6:$Q$31,6,FALSE),0)</f>
        <v>0</v>
      </c>
      <c r="F72" s="31">
        <f t="shared" si="9"/>
        <v>0</v>
      </c>
      <c r="G72" s="10">
        <f>IFERROR(VLOOKUP($B72,Súpravy!$A$6:$Q$31,3,FALSE),0)</f>
        <v>0</v>
      </c>
      <c r="H72" s="17">
        <f t="shared" si="6"/>
        <v>0</v>
      </c>
      <c r="I72" s="12">
        <f>IFERROR(VLOOKUP($B72,Súpravy!$A$6:$Q$31,9,FALSE),0)</f>
        <v>0</v>
      </c>
      <c r="J72" s="12">
        <f>IFERROR(VLOOKUP($B72,Súpravy!$A$6:$Q$31,12,FALSE),0)</f>
        <v>0</v>
      </c>
      <c r="K72" s="12">
        <f>IFERROR(VLOOKUP($B72,Súpravy!$A$6:$Q$31,17,FALSE),0)</f>
        <v>0</v>
      </c>
      <c r="L72" s="12">
        <f>IFERROR(VLOOKUP($B72,Súpravy!$A$6:$Q$31,18,FALSE),0)</f>
        <v>0</v>
      </c>
      <c r="M72" s="17">
        <f t="shared" si="10"/>
        <v>0</v>
      </c>
      <c r="N72" s="93">
        <f>IF(OR(C72=53.328,M72&lt;=80%),0,D72*(Ocenenie!$E$56*(M72)*(M72)*(M72)+Ocenenie!$E$57*(M72)*(M72)+Ocenenie!$E$58*(M72)-Ocenenie!$E$60))</f>
        <v>0</v>
      </c>
    </row>
    <row r="73" spans="1:14" x14ac:dyDescent="0.25">
      <c r="A73" s="1" t="str">
        <f>Grafikon!$B62</f>
        <v>Os 4304</v>
      </c>
      <c r="B73" s="199"/>
      <c r="C73" s="2">
        <f>Grafikon!$D62</f>
        <v>46.847000000000001</v>
      </c>
      <c r="D73" s="3">
        <f>Grafikon!$H62</f>
        <v>800</v>
      </c>
      <c r="E73" s="10">
        <f>IFERROR(VLOOKUP($B73,Súpravy!$A$6:$Q$31,6,FALSE),0)</f>
        <v>0</v>
      </c>
      <c r="F73" s="31">
        <f t="shared" si="9"/>
        <v>0</v>
      </c>
      <c r="G73" s="10">
        <f>IFERROR(VLOOKUP($B73,Súpravy!$A$6:$Q$31,3,FALSE),0)</f>
        <v>0</v>
      </c>
      <c r="H73" s="17">
        <f t="shared" si="6"/>
        <v>0</v>
      </c>
      <c r="I73" s="12">
        <f>IFERROR(VLOOKUP($B73,Súpravy!$A$6:$Q$31,9,FALSE),0)</f>
        <v>0</v>
      </c>
      <c r="J73" s="12">
        <f>IFERROR(VLOOKUP($B73,Súpravy!$A$6:$Q$31,12,FALSE),0)</f>
        <v>0</v>
      </c>
      <c r="K73" s="12">
        <f>IFERROR(VLOOKUP($B73,Súpravy!$A$6:$Q$31,17,FALSE),0)</f>
        <v>0</v>
      </c>
      <c r="L73" s="12">
        <f>IFERROR(VLOOKUP($B73,Súpravy!$A$6:$Q$31,18,FALSE),0)</f>
        <v>0</v>
      </c>
      <c r="M73" s="17">
        <f t="shared" si="10"/>
        <v>0</v>
      </c>
      <c r="N73" s="93">
        <f>IF(OR(C73=53.328,M73&lt;=80%),0,D73*(Ocenenie!$E$56*(M73)*(M73)*(M73)+Ocenenie!$E$57*(M73)*(M73)+Ocenenie!$E$58*(M73)-Ocenenie!$E$60))</f>
        <v>0</v>
      </c>
    </row>
    <row r="74" spans="1:14" x14ac:dyDescent="0.25">
      <c r="A74" s="1" t="str">
        <f>Grafikon!$B63</f>
        <v>Zr 1764</v>
      </c>
      <c r="B74" s="199"/>
      <c r="C74" s="2">
        <f>Grafikon!$D63</f>
        <v>100.175</v>
      </c>
      <c r="D74" s="3">
        <f>Grafikon!$H63</f>
        <v>400</v>
      </c>
      <c r="E74" s="10">
        <f>IFERROR(VLOOKUP($B74,Súpravy!$A$6:$Q$31,6,FALSE),0)</f>
        <v>0</v>
      </c>
      <c r="F74" s="31">
        <f t="shared" si="9"/>
        <v>0</v>
      </c>
      <c r="G74" s="10">
        <f>IFERROR(VLOOKUP($B74,Súpravy!$A$6:$Q$31,3,FALSE),0)</f>
        <v>0</v>
      </c>
      <c r="H74" s="17">
        <f t="shared" si="6"/>
        <v>0</v>
      </c>
      <c r="I74" s="12">
        <f>IFERROR(VLOOKUP($B74,Súpravy!$A$6:$Q$31,9,FALSE),0)</f>
        <v>0</v>
      </c>
      <c r="J74" s="12">
        <f>IFERROR(VLOOKUP($B74,Súpravy!$A$6:$Q$31,12,FALSE),0)</f>
        <v>0</v>
      </c>
      <c r="K74" s="12">
        <f>IFERROR(VLOOKUP($B74,Súpravy!$A$6:$Q$31,17,FALSE),0)</f>
        <v>0</v>
      </c>
      <c r="L74" s="12">
        <f>IFERROR(VLOOKUP($B74,Súpravy!$A$6:$Q$31,18,FALSE),0)</f>
        <v>0</v>
      </c>
      <c r="M74" s="17">
        <f t="shared" si="10"/>
        <v>0</v>
      </c>
      <c r="N74" s="93">
        <f>IF(OR(C74=53.328,M74&lt;=80%),0,D74*(Ocenenie!$E$56*(M74)*(M74)*(M74)+Ocenenie!$E$57*(M74)*(M74)+Ocenenie!$E$58*(M74)-Ocenenie!$E$60))</f>
        <v>0</v>
      </c>
    </row>
    <row r="75" spans="1:14" x14ac:dyDescent="0.25">
      <c r="A75" s="1" t="str">
        <f>Grafikon!$B64</f>
        <v>Os 4346</v>
      </c>
      <c r="B75" s="199"/>
      <c r="C75" s="2">
        <f>Grafikon!$D64</f>
        <v>26.718</v>
      </c>
      <c r="D75" s="3">
        <f>Grafikon!$H64</f>
        <v>600</v>
      </c>
      <c r="E75" s="10">
        <f>IFERROR(VLOOKUP($B75,Súpravy!$A$6:$Q$31,6,FALSE),0)</f>
        <v>0</v>
      </c>
      <c r="F75" s="31">
        <f t="shared" si="9"/>
        <v>0</v>
      </c>
      <c r="G75" s="10">
        <f>IFERROR(VLOOKUP($B75,Súpravy!$A$6:$Q$31,3,FALSE),0)</f>
        <v>0</v>
      </c>
      <c r="H75" s="17">
        <f t="shared" si="6"/>
        <v>0</v>
      </c>
      <c r="I75" s="12">
        <f>IFERROR(VLOOKUP($B75,Súpravy!$A$6:$Q$31,9,FALSE),0)</f>
        <v>0</v>
      </c>
      <c r="J75" s="12">
        <f>IFERROR(VLOOKUP($B75,Súpravy!$A$6:$Q$31,12,FALSE),0)</f>
        <v>0</v>
      </c>
      <c r="K75" s="12">
        <f>IFERROR(VLOOKUP($B75,Súpravy!$A$6:$Q$31,17,FALSE),0)</f>
        <v>0</v>
      </c>
      <c r="L75" s="12">
        <f>IFERROR(VLOOKUP($B75,Súpravy!$A$6:$Q$31,18,FALSE),0)</f>
        <v>0</v>
      </c>
      <c r="M75" s="17">
        <f t="shared" si="10"/>
        <v>0</v>
      </c>
      <c r="N75" s="93">
        <f>IF(OR(C75=53.328,M75&lt;=80%),0,D75*(Ocenenie!$E$56*(M75)*(M75)*(M75)+Ocenenie!$E$57*(M75)*(M75)+Ocenenie!$E$58*(M75)-Ocenenie!$E$60))</f>
        <v>0</v>
      </c>
    </row>
    <row r="76" spans="1:14" x14ac:dyDescent="0.25">
      <c r="A76" s="1" t="str">
        <f>Grafikon!$B65</f>
        <v>Os 4306</v>
      </c>
      <c r="B76" s="199"/>
      <c r="C76" s="2">
        <f>Grafikon!$D65</f>
        <v>46.847000000000001</v>
      </c>
      <c r="D76" s="3">
        <f>Grafikon!$H65</f>
        <v>600</v>
      </c>
      <c r="E76" s="10">
        <f>IFERROR(VLOOKUP($B76,Súpravy!$A$6:$Q$31,6,FALSE),0)</f>
        <v>0</v>
      </c>
      <c r="F76" s="31">
        <f t="shared" si="9"/>
        <v>0</v>
      </c>
      <c r="G76" s="10">
        <f>IFERROR(VLOOKUP($B76,Súpravy!$A$6:$Q$31,3,FALSE),0)</f>
        <v>0</v>
      </c>
      <c r="H76" s="17">
        <f t="shared" si="6"/>
        <v>0</v>
      </c>
      <c r="I76" s="12">
        <f>IFERROR(VLOOKUP($B76,Súpravy!$A$6:$Q$31,9,FALSE),0)</f>
        <v>0</v>
      </c>
      <c r="J76" s="12">
        <f>IFERROR(VLOOKUP($B76,Súpravy!$A$6:$Q$31,12,FALSE),0)</f>
        <v>0</v>
      </c>
      <c r="K76" s="12">
        <f>IFERROR(VLOOKUP($B76,Súpravy!$A$6:$Q$31,17,FALSE),0)</f>
        <v>0</v>
      </c>
      <c r="L76" s="12">
        <f>IFERROR(VLOOKUP($B76,Súpravy!$A$6:$Q$31,18,FALSE),0)</f>
        <v>0</v>
      </c>
      <c r="M76" s="17">
        <f t="shared" si="10"/>
        <v>0</v>
      </c>
      <c r="N76" s="93">
        <f>IF(OR(C76=53.328,M76&lt;=80%),0,D76*(Ocenenie!$E$56*(M76)*(M76)*(M76)+Ocenenie!$E$57*(M76)*(M76)+Ocenenie!$E$58*(M76)-Ocenenie!$E$60))</f>
        <v>0</v>
      </c>
    </row>
    <row r="77" spans="1:14" x14ac:dyDescent="0.25">
      <c r="A77" s="1" t="str">
        <f>Grafikon!$B66</f>
        <v>Os 4374</v>
      </c>
      <c r="B77" s="199"/>
      <c r="C77" s="2">
        <f>Grafikon!$D66</f>
        <v>53.328000000000003</v>
      </c>
      <c r="D77" s="3">
        <f>Grafikon!$H66</f>
        <v>200</v>
      </c>
      <c r="E77" s="10">
        <f>IFERROR(VLOOKUP($B77,Súpravy!$A$6:$Q$31,6,FALSE),0)</f>
        <v>0</v>
      </c>
      <c r="F77" s="31">
        <f t="shared" si="9"/>
        <v>0</v>
      </c>
      <c r="G77" s="10">
        <f>IFERROR(VLOOKUP($B77,Súpravy!$A$6:$Q$31,3,FALSE),0)</f>
        <v>0</v>
      </c>
      <c r="H77" s="17">
        <f t="shared" si="6"/>
        <v>0</v>
      </c>
      <c r="I77" s="12">
        <f>IFERROR(VLOOKUP($B77,Súpravy!$A$6:$Q$31,9,FALSE),0)</f>
        <v>0</v>
      </c>
      <c r="J77" s="12">
        <f>IFERROR(VLOOKUP($B77,Súpravy!$A$6:$Q$31,12,FALSE),0)</f>
        <v>0</v>
      </c>
      <c r="K77" s="12">
        <f>IFERROR(VLOOKUP($B77,Súpravy!$A$6:$Q$31,17,FALSE),0)</f>
        <v>0</v>
      </c>
      <c r="L77" s="12">
        <f>IFERROR(VLOOKUP($B77,Súpravy!$A$6:$Q$31,18,FALSE),0)</f>
        <v>0</v>
      </c>
      <c r="M77" s="17">
        <f t="shared" si="10"/>
        <v>0</v>
      </c>
      <c r="N77" s="93">
        <f>IF(OR(C77=53.328,M77&lt;=80%),0,D77*(Ocenenie!$E$56*(M77)*(M77)*(M77)+Ocenenie!$E$57*(M77)*(M77)+Ocenenie!$E$58*(M77)-Ocenenie!$E$60))</f>
        <v>0</v>
      </c>
    </row>
    <row r="78" spans="1:14" x14ac:dyDescent="0.25">
      <c r="A78" s="1" t="str">
        <f>Grafikon!$B67</f>
        <v>Zr 1766</v>
      </c>
      <c r="B78" s="199"/>
      <c r="C78" s="2">
        <f>Grafikon!$D67</f>
        <v>46.847000000000001</v>
      </c>
      <c r="D78" s="3">
        <f>Grafikon!$H67</f>
        <v>300</v>
      </c>
      <c r="E78" s="10">
        <f>IFERROR(VLOOKUP($B78,Súpravy!$A$6:$Q$31,6,FALSE),0)</f>
        <v>0</v>
      </c>
      <c r="F78" s="31">
        <f t="shared" si="9"/>
        <v>0</v>
      </c>
      <c r="G78" s="10">
        <f>IFERROR(VLOOKUP($B78,Súpravy!$A$6:$Q$31,3,FALSE),0)</f>
        <v>0</v>
      </c>
      <c r="H78" s="17">
        <f t="shared" si="6"/>
        <v>0</v>
      </c>
      <c r="I78" s="12">
        <f>IFERROR(VLOOKUP($B78,Súpravy!$A$6:$Q$31,9,FALSE),0)</f>
        <v>0</v>
      </c>
      <c r="J78" s="12">
        <f>IFERROR(VLOOKUP($B78,Súpravy!$A$6:$Q$31,12,FALSE),0)</f>
        <v>0</v>
      </c>
      <c r="K78" s="12">
        <f>IFERROR(VLOOKUP($B78,Súpravy!$A$6:$Q$31,17,FALSE),0)</f>
        <v>0</v>
      </c>
      <c r="L78" s="12">
        <f>IFERROR(VLOOKUP($B78,Súpravy!$A$6:$Q$31,18,FALSE),0)</f>
        <v>0</v>
      </c>
      <c r="M78" s="17">
        <f t="shared" si="10"/>
        <v>0</v>
      </c>
      <c r="N78" s="93">
        <f>IF(OR(C78=53.328,M78&lt;=80%),0,D78*(Ocenenie!$E$56*(M78)*(M78)*(M78)+Ocenenie!$E$57*(M78)*(M78)+Ocenenie!$E$58*(M78)-Ocenenie!$E$60))</f>
        <v>0</v>
      </c>
    </row>
    <row r="79" spans="1:14" x14ac:dyDescent="0.25">
      <c r="A79" s="1" t="str">
        <f>Grafikon!$B68</f>
        <v>Os 4348</v>
      </c>
      <c r="B79" s="199"/>
      <c r="C79" s="2">
        <f>Grafikon!$D68</f>
        <v>26.718</v>
      </c>
      <c r="D79" s="3">
        <f>Grafikon!$H68</f>
        <v>200</v>
      </c>
      <c r="E79" s="10">
        <f>IFERROR(VLOOKUP($B79,Súpravy!$A$6:$Q$31,6,FALSE),0)</f>
        <v>0</v>
      </c>
      <c r="F79" s="31">
        <f t="shared" si="9"/>
        <v>0</v>
      </c>
      <c r="G79" s="10">
        <f>IFERROR(VLOOKUP($B79,Súpravy!$A$6:$Q$31,3,FALSE),0)</f>
        <v>0</v>
      </c>
      <c r="H79" s="17">
        <f t="shared" si="6"/>
        <v>0</v>
      </c>
      <c r="I79" s="12">
        <f>IFERROR(VLOOKUP($B79,Súpravy!$A$6:$Q$31,9,FALSE),0)</f>
        <v>0</v>
      </c>
      <c r="J79" s="12">
        <f>IFERROR(VLOOKUP($B79,Súpravy!$A$6:$Q$31,12,FALSE),0)</f>
        <v>0</v>
      </c>
      <c r="K79" s="12">
        <f>IFERROR(VLOOKUP($B79,Súpravy!$A$6:$Q$31,17,FALSE),0)</f>
        <v>0</v>
      </c>
      <c r="L79" s="12">
        <f>IFERROR(VLOOKUP($B79,Súpravy!$A$6:$Q$31,18,FALSE),0)</f>
        <v>0</v>
      </c>
      <c r="M79" s="17">
        <f t="shared" si="10"/>
        <v>0</v>
      </c>
      <c r="N79" s="93">
        <f>IF(OR(C79=53.328,M79&lt;=80%),0,D79*(Ocenenie!$E$56*(M79)*(M79)*(M79)+Ocenenie!$E$57*(M79)*(M79)+Ocenenie!$E$58*(M79)-Ocenenie!$E$60))</f>
        <v>0</v>
      </c>
    </row>
    <row r="80" spans="1:14" x14ac:dyDescent="0.25">
      <c r="A80" s="1" t="str">
        <f>Grafikon!$B69</f>
        <v>Os 4308</v>
      </c>
      <c r="B80" s="199"/>
      <c r="C80" s="2">
        <f>Grafikon!$D69</f>
        <v>46.847000000000001</v>
      </c>
      <c r="D80" s="3">
        <f>Grafikon!$H69</f>
        <v>300</v>
      </c>
      <c r="E80" s="10">
        <f>IFERROR(VLOOKUP($B80,Súpravy!$A$6:$Q$31,6,FALSE),0)</f>
        <v>0</v>
      </c>
      <c r="F80" s="31">
        <f t="shared" si="9"/>
        <v>0</v>
      </c>
      <c r="G80" s="10">
        <f>IFERROR(VLOOKUP($B80,Súpravy!$A$6:$Q$31,3,FALSE),0)</f>
        <v>0</v>
      </c>
      <c r="H80" s="17">
        <f t="shared" ref="H80:H113" si="11">IFERROR(MIN(G80/D80,1),0)</f>
        <v>0</v>
      </c>
      <c r="I80" s="12">
        <f>IFERROR(VLOOKUP($B80,Súpravy!$A$6:$Q$31,9,FALSE),0)</f>
        <v>0</v>
      </c>
      <c r="J80" s="12">
        <f>IFERROR(VLOOKUP($B80,Súpravy!$A$6:$Q$31,12,FALSE),0)</f>
        <v>0</v>
      </c>
      <c r="K80" s="12">
        <f>IFERROR(VLOOKUP($B80,Súpravy!$A$6:$Q$31,17,FALSE),0)</f>
        <v>0</v>
      </c>
      <c r="L80" s="12">
        <f>IFERROR(VLOOKUP($B80,Súpravy!$A$6:$Q$31,18,FALSE),0)</f>
        <v>0</v>
      </c>
      <c r="M80" s="17">
        <f t="shared" si="10"/>
        <v>0</v>
      </c>
      <c r="N80" s="93">
        <f>IF(OR(C80=53.328,M80&lt;=80%),0,D80*(Ocenenie!$E$56*(M80)*(M80)*(M80)+Ocenenie!$E$57*(M80)*(M80)+Ocenenie!$E$58*(M80)-Ocenenie!$E$60))</f>
        <v>0</v>
      </c>
    </row>
    <row r="81" spans="1:14" x14ac:dyDescent="0.25">
      <c r="A81" s="1" t="str">
        <f>Grafikon!$B70</f>
        <v>Zr 1768</v>
      </c>
      <c r="B81" s="199"/>
      <c r="C81" s="2">
        <f>Grafikon!$D70</f>
        <v>100.175</v>
      </c>
      <c r="D81" s="3">
        <f>Grafikon!$H70</f>
        <v>100</v>
      </c>
      <c r="E81" s="10">
        <f>IFERROR(VLOOKUP($B81,Súpravy!$A$6:$Q$31,6,FALSE),0)</f>
        <v>0</v>
      </c>
      <c r="F81" s="31">
        <f t="shared" si="9"/>
        <v>0</v>
      </c>
      <c r="G81" s="10">
        <f>IFERROR(VLOOKUP($B81,Súpravy!$A$6:$Q$31,3,FALSE),0)</f>
        <v>0</v>
      </c>
      <c r="H81" s="17">
        <f t="shared" si="11"/>
        <v>0</v>
      </c>
      <c r="I81" s="12">
        <f>IFERROR(VLOOKUP($B81,Súpravy!$A$6:$Q$31,9,FALSE),0)</f>
        <v>0</v>
      </c>
      <c r="J81" s="12">
        <f>IFERROR(VLOOKUP($B81,Súpravy!$A$6:$Q$31,12,FALSE),0)</f>
        <v>0</v>
      </c>
      <c r="K81" s="12">
        <f>IFERROR(VLOOKUP($B81,Súpravy!$A$6:$Q$31,17,FALSE),0)</f>
        <v>0</v>
      </c>
      <c r="L81" s="12">
        <f>IFERROR(VLOOKUP($B81,Súpravy!$A$6:$Q$31,18,FALSE),0)</f>
        <v>0</v>
      </c>
      <c r="M81" s="17">
        <f t="shared" si="10"/>
        <v>0</v>
      </c>
      <c r="N81" s="93">
        <f>IF(OR(C81=53.328,M81&lt;=80%),0,D81*(Ocenenie!$E$56*(M81)*(M81)*(M81)+Ocenenie!$E$57*(M81)*(M81)+Ocenenie!$E$58*(M81)-Ocenenie!$E$60))</f>
        <v>0</v>
      </c>
    </row>
    <row r="82" spans="1:14" x14ac:dyDescent="0.25">
      <c r="A82" s="1" t="str">
        <f>Grafikon!$B71</f>
        <v>Os 4350</v>
      </c>
      <c r="B82" s="199"/>
      <c r="C82" s="2">
        <f>Grafikon!$D71</f>
        <v>26.718</v>
      </c>
      <c r="D82" s="3">
        <f>Grafikon!$H71</f>
        <v>200</v>
      </c>
      <c r="E82" s="10">
        <f>IFERROR(VLOOKUP($B82,Súpravy!$A$6:$Q$31,6,FALSE),0)</f>
        <v>0</v>
      </c>
      <c r="F82" s="31">
        <f t="shared" si="9"/>
        <v>0</v>
      </c>
      <c r="G82" s="10">
        <f>IFERROR(VLOOKUP($B82,Súpravy!$A$6:$Q$31,3,FALSE),0)</f>
        <v>0</v>
      </c>
      <c r="H82" s="17">
        <f t="shared" si="11"/>
        <v>0</v>
      </c>
      <c r="I82" s="12">
        <f>IFERROR(VLOOKUP($B82,Súpravy!$A$6:$Q$31,9,FALSE),0)</f>
        <v>0</v>
      </c>
      <c r="J82" s="12">
        <f>IFERROR(VLOOKUP($B82,Súpravy!$A$6:$Q$31,12,FALSE),0)</f>
        <v>0</v>
      </c>
      <c r="K82" s="12">
        <f>IFERROR(VLOOKUP($B82,Súpravy!$A$6:$Q$31,17,FALSE),0)</f>
        <v>0</v>
      </c>
      <c r="L82" s="12">
        <f>IFERROR(VLOOKUP($B82,Súpravy!$A$6:$Q$31,18,FALSE),0)</f>
        <v>0</v>
      </c>
      <c r="M82" s="17">
        <f t="shared" si="10"/>
        <v>0</v>
      </c>
      <c r="N82" s="93">
        <f>IF(OR(C82=53.328,M82&lt;=80%),0,D82*(Ocenenie!$E$56*(M82)*(M82)*(M82)+Ocenenie!$E$57*(M82)*(M82)+Ocenenie!$E$58*(M82)-Ocenenie!$E$60))</f>
        <v>0</v>
      </c>
    </row>
    <row r="83" spans="1:14" x14ac:dyDescent="0.25">
      <c r="A83" s="1" t="str">
        <f>Grafikon!$B72</f>
        <v>Os 4310</v>
      </c>
      <c r="B83" s="199"/>
      <c r="C83" s="2">
        <f>Grafikon!$D72</f>
        <v>46.847000000000001</v>
      </c>
      <c r="D83" s="3">
        <f>Grafikon!$H72</f>
        <v>300</v>
      </c>
      <c r="E83" s="10">
        <f>IFERROR(VLOOKUP($B83,Súpravy!$A$6:$Q$31,6,FALSE),0)</f>
        <v>0</v>
      </c>
      <c r="F83" s="31">
        <f t="shared" si="9"/>
        <v>0</v>
      </c>
      <c r="G83" s="10">
        <f>IFERROR(VLOOKUP($B83,Súpravy!$A$6:$Q$31,3,FALSE),0)</f>
        <v>0</v>
      </c>
      <c r="H83" s="17">
        <f t="shared" si="11"/>
        <v>0</v>
      </c>
      <c r="I83" s="12">
        <f>IFERROR(VLOOKUP($B83,Súpravy!$A$6:$Q$31,9,FALSE),0)</f>
        <v>0</v>
      </c>
      <c r="J83" s="12">
        <f>IFERROR(VLOOKUP($B83,Súpravy!$A$6:$Q$31,12,FALSE),0)</f>
        <v>0</v>
      </c>
      <c r="K83" s="12">
        <f>IFERROR(VLOOKUP($B83,Súpravy!$A$6:$Q$31,17,FALSE),0)</f>
        <v>0</v>
      </c>
      <c r="L83" s="12">
        <f>IFERROR(VLOOKUP($B83,Súpravy!$A$6:$Q$31,18,FALSE),0)</f>
        <v>0</v>
      </c>
      <c r="M83" s="17">
        <f t="shared" si="10"/>
        <v>0</v>
      </c>
      <c r="N83" s="93">
        <f>IF(OR(C83=53.328,M83&lt;=80%),0,D83*(Ocenenie!$E$56*(M83)*(M83)*(M83)+Ocenenie!$E$57*(M83)*(M83)+Ocenenie!$E$58*(M83)-Ocenenie!$E$60))</f>
        <v>0</v>
      </c>
    </row>
    <row r="84" spans="1:14" x14ac:dyDescent="0.25">
      <c r="A84" s="1" t="str">
        <f>Grafikon!$B73</f>
        <v>Os 4312</v>
      </c>
      <c r="B84" s="199"/>
      <c r="C84" s="2">
        <f>Grafikon!$D73</f>
        <v>46.847000000000001</v>
      </c>
      <c r="D84" s="3">
        <f>Grafikon!$H73</f>
        <v>300</v>
      </c>
      <c r="E84" s="10">
        <f>IFERROR(VLOOKUP($B84,Súpravy!$A$6:$Q$31,6,FALSE),0)</f>
        <v>0</v>
      </c>
      <c r="F84" s="31">
        <f t="shared" si="9"/>
        <v>0</v>
      </c>
      <c r="G84" s="10">
        <f>IFERROR(VLOOKUP($B84,Súpravy!$A$6:$Q$31,3,FALSE),0)</f>
        <v>0</v>
      </c>
      <c r="H84" s="17">
        <f t="shared" si="11"/>
        <v>0</v>
      </c>
      <c r="I84" s="12">
        <f>IFERROR(VLOOKUP($B84,Súpravy!$A$6:$Q$31,9,FALSE),0)</f>
        <v>0</v>
      </c>
      <c r="J84" s="12">
        <f>IFERROR(VLOOKUP($B84,Súpravy!$A$6:$Q$31,12,FALSE),0)</f>
        <v>0</v>
      </c>
      <c r="K84" s="12">
        <f>IFERROR(VLOOKUP($B84,Súpravy!$A$6:$Q$31,17,FALSE),0)</f>
        <v>0</v>
      </c>
      <c r="L84" s="12">
        <f>IFERROR(VLOOKUP($B84,Súpravy!$A$6:$Q$31,18,FALSE),0)</f>
        <v>0</v>
      </c>
      <c r="M84" s="17">
        <f t="shared" si="10"/>
        <v>0</v>
      </c>
      <c r="N84" s="93">
        <f>IF(OR(C84=53.328,M84&lt;=80%),0,D84*(Ocenenie!$E$56*(M84)*(M84)*(M84)+Ocenenie!$E$57*(M84)*(M84)+Ocenenie!$E$58*(M84)-Ocenenie!$E$60))</f>
        <v>0</v>
      </c>
    </row>
    <row r="85" spans="1:14" x14ac:dyDescent="0.25">
      <c r="A85" s="1" t="str">
        <f>Grafikon!$B74</f>
        <v>Zr 1772</v>
      </c>
      <c r="B85" s="199"/>
      <c r="C85" s="2">
        <f>Grafikon!$D74</f>
        <v>100.175</v>
      </c>
      <c r="D85" s="3">
        <f>Grafikon!$H74</f>
        <v>100</v>
      </c>
      <c r="E85" s="10">
        <f>IFERROR(VLOOKUP($B85,Súpravy!$A$6:$Q$31,6,FALSE),0)</f>
        <v>0</v>
      </c>
      <c r="F85" s="31">
        <f t="shared" si="9"/>
        <v>0</v>
      </c>
      <c r="G85" s="10">
        <f>IFERROR(VLOOKUP($B85,Súpravy!$A$6:$Q$31,3,FALSE),0)</f>
        <v>0</v>
      </c>
      <c r="H85" s="17">
        <f t="shared" si="11"/>
        <v>0</v>
      </c>
      <c r="I85" s="12">
        <f>IFERROR(VLOOKUP($B85,Súpravy!$A$6:$Q$31,9,FALSE),0)</f>
        <v>0</v>
      </c>
      <c r="J85" s="12">
        <f>IFERROR(VLOOKUP($B85,Súpravy!$A$6:$Q$31,12,FALSE),0)</f>
        <v>0</v>
      </c>
      <c r="K85" s="12">
        <f>IFERROR(VLOOKUP($B85,Súpravy!$A$6:$Q$31,17,FALSE),0)</f>
        <v>0</v>
      </c>
      <c r="L85" s="12">
        <f>IFERROR(VLOOKUP($B85,Súpravy!$A$6:$Q$31,18,FALSE),0)</f>
        <v>0</v>
      </c>
      <c r="M85" s="17">
        <f t="shared" si="10"/>
        <v>0</v>
      </c>
      <c r="N85" s="93">
        <f>IF(OR(C85=53.328,M85&lt;=80%),0,D85*(Ocenenie!$E$56*(M85)*(M85)*(M85)+Ocenenie!$E$57*(M85)*(M85)+Ocenenie!$E$58*(M85)-Ocenenie!$E$60))</f>
        <v>0</v>
      </c>
    </row>
    <row r="86" spans="1:14" x14ac:dyDescent="0.25">
      <c r="A86" s="1" t="str">
        <f>Grafikon!$B75</f>
        <v>Os 4314</v>
      </c>
      <c r="B86" s="199"/>
      <c r="C86" s="2">
        <f>Grafikon!$D75</f>
        <v>46.847000000000001</v>
      </c>
      <c r="D86" s="3">
        <f>Grafikon!$H75</f>
        <v>300</v>
      </c>
      <c r="E86" s="10">
        <f>IFERROR(VLOOKUP($B86,Súpravy!$A$6:$Q$31,6,FALSE),0)</f>
        <v>0</v>
      </c>
      <c r="F86" s="31">
        <f t="shared" si="9"/>
        <v>0</v>
      </c>
      <c r="G86" s="10">
        <f>IFERROR(VLOOKUP($B86,Súpravy!$A$6:$Q$31,3,FALSE),0)</f>
        <v>0</v>
      </c>
      <c r="H86" s="17">
        <f t="shared" si="11"/>
        <v>0</v>
      </c>
      <c r="I86" s="12">
        <f>IFERROR(VLOOKUP($B86,Súpravy!$A$6:$Q$31,9,FALSE),0)</f>
        <v>0</v>
      </c>
      <c r="J86" s="12">
        <f>IFERROR(VLOOKUP($B86,Súpravy!$A$6:$Q$31,12,FALSE),0)</f>
        <v>0</v>
      </c>
      <c r="K86" s="12">
        <f>IFERROR(VLOOKUP($B86,Súpravy!$A$6:$Q$31,17,FALSE),0)</f>
        <v>0</v>
      </c>
      <c r="L86" s="12">
        <f>IFERROR(VLOOKUP($B86,Súpravy!$A$6:$Q$31,18,FALSE),0)</f>
        <v>0</v>
      </c>
      <c r="M86" s="17">
        <f t="shared" si="10"/>
        <v>0</v>
      </c>
      <c r="N86" s="93">
        <f>IF(OR(C86=53.328,M86&lt;=80%),0,D86*(Ocenenie!$E$56*(M86)*(M86)*(M86)+Ocenenie!$E$57*(M86)*(M86)+Ocenenie!$E$58*(M86)-Ocenenie!$E$60))</f>
        <v>0</v>
      </c>
    </row>
    <row r="87" spans="1:14" x14ac:dyDescent="0.25">
      <c r="A87" s="1" t="str">
        <f>Grafikon!$B76</f>
        <v>Os 4316</v>
      </c>
      <c r="B87" s="199"/>
      <c r="C87" s="2">
        <f>Grafikon!$D76</f>
        <v>46.847000000000001</v>
      </c>
      <c r="D87" s="3">
        <f>Grafikon!$H76</f>
        <v>300</v>
      </c>
      <c r="E87" s="10">
        <f>IFERROR(VLOOKUP($B87,Súpravy!$A$6:$Q$31,6,FALSE),0)</f>
        <v>0</v>
      </c>
      <c r="F87" s="31">
        <f t="shared" si="9"/>
        <v>0</v>
      </c>
      <c r="G87" s="10">
        <f>IFERROR(VLOOKUP($B87,Súpravy!$A$6:$Q$31,3,FALSE),0)</f>
        <v>0</v>
      </c>
      <c r="H87" s="17">
        <f t="shared" si="11"/>
        <v>0</v>
      </c>
      <c r="I87" s="12">
        <f>IFERROR(VLOOKUP($B87,Súpravy!$A$6:$Q$31,9,FALSE),0)</f>
        <v>0</v>
      </c>
      <c r="J87" s="12">
        <f>IFERROR(VLOOKUP($B87,Súpravy!$A$6:$Q$31,12,FALSE),0)</f>
        <v>0</v>
      </c>
      <c r="K87" s="12">
        <f>IFERROR(VLOOKUP($B87,Súpravy!$A$6:$Q$31,17,FALSE),0)</f>
        <v>0</v>
      </c>
      <c r="L87" s="12">
        <f>IFERROR(VLOOKUP($B87,Súpravy!$A$6:$Q$31,18,FALSE),0)</f>
        <v>0</v>
      </c>
      <c r="M87" s="17">
        <f t="shared" si="10"/>
        <v>0</v>
      </c>
      <c r="N87" s="93">
        <f>IF(OR(C87=53.328,M87&lt;=80%),0,D87*(Ocenenie!$E$56*(M87)*(M87)*(M87)+Ocenenie!$E$57*(M87)*(M87)+Ocenenie!$E$58*(M87)-Ocenenie!$E$60))</f>
        <v>0</v>
      </c>
    </row>
    <row r="88" spans="1:14" x14ac:dyDescent="0.25">
      <c r="A88" s="1" t="str">
        <f>Grafikon!$B77</f>
        <v>Zr 1776</v>
      </c>
      <c r="B88" s="199"/>
      <c r="C88" s="2">
        <f>Grafikon!$D77</f>
        <v>100.175</v>
      </c>
      <c r="D88" s="3">
        <f>Grafikon!$H77</f>
        <v>100</v>
      </c>
      <c r="E88" s="10">
        <f>IFERROR(VLOOKUP($B88,Súpravy!$A$6:$Q$31,6,FALSE),0)</f>
        <v>0</v>
      </c>
      <c r="F88" s="31">
        <f t="shared" si="9"/>
        <v>0</v>
      </c>
      <c r="G88" s="10">
        <f>IFERROR(VLOOKUP($B88,Súpravy!$A$6:$Q$31,3,FALSE),0)</f>
        <v>0</v>
      </c>
      <c r="H88" s="17">
        <f t="shared" si="11"/>
        <v>0</v>
      </c>
      <c r="I88" s="12">
        <f>IFERROR(VLOOKUP($B88,Súpravy!$A$6:$Q$31,9,FALSE),0)</f>
        <v>0</v>
      </c>
      <c r="J88" s="12">
        <f>IFERROR(VLOOKUP($B88,Súpravy!$A$6:$Q$31,12,FALSE),0)</f>
        <v>0</v>
      </c>
      <c r="K88" s="12">
        <f>IFERROR(VLOOKUP($B88,Súpravy!$A$6:$Q$31,17,FALSE),0)</f>
        <v>0</v>
      </c>
      <c r="L88" s="12">
        <f>IFERROR(VLOOKUP($B88,Súpravy!$A$6:$Q$31,18,FALSE),0)</f>
        <v>0</v>
      </c>
      <c r="M88" s="17">
        <f t="shared" si="10"/>
        <v>0</v>
      </c>
      <c r="N88" s="93">
        <f>IF(OR(C88=53.328,M88&lt;=80%),0,D88*(Ocenenie!$E$56*(M88)*(M88)*(M88)+Ocenenie!$E$57*(M88)*(M88)+Ocenenie!$E$58*(M88)-Ocenenie!$E$60))</f>
        <v>0</v>
      </c>
    </row>
    <row r="89" spans="1:14" x14ac:dyDescent="0.25">
      <c r="A89" s="1" t="str">
        <f>Grafikon!$B78</f>
        <v>Os 4318</v>
      </c>
      <c r="B89" s="199"/>
      <c r="C89" s="2">
        <f>Grafikon!$D78</f>
        <v>46.847000000000001</v>
      </c>
      <c r="D89" s="3">
        <f>Grafikon!$H78</f>
        <v>300</v>
      </c>
      <c r="E89" s="10">
        <f>IFERROR(VLOOKUP($B89,Súpravy!$A$6:$Q$31,6,FALSE),0)</f>
        <v>0</v>
      </c>
      <c r="F89" s="31">
        <f t="shared" si="9"/>
        <v>0</v>
      </c>
      <c r="G89" s="10">
        <f>IFERROR(VLOOKUP($B89,Súpravy!$A$6:$Q$31,3,FALSE),0)</f>
        <v>0</v>
      </c>
      <c r="H89" s="17">
        <f t="shared" si="11"/>
        <v>0</v>
      </c>
      <c r="I89" s="12">
        <f>IFERROR(VLOOKUP($B89,Súpravy!$A$6:$Q$31,9,FALSE),0)</f>
        <v>0</v>
      </c>
      <c r="J89" s="12">
        <f>IFERROR(VLOOKUP($B89,Súpravy!$A$6:$Q$31,12,FALSE),0)</f>
        <v>0</v>
      </c>
      <c r="K89" s="12">
        <f>IFERROR(VLOOKUP($B89,Súpravy!$A$6:$Q$31,17,FALSE),0)</f>
        <v>0</v>
      </c>
      <c r="L89" s="12">
        <f>IFERROR(VLOOKUP($B89,Súpravy!$A$6:$Q$31,18,FALSE),0)</f>
        <v>0</v>
      </c>
      <c r="M89" s="17">
        <f t="shared" si="10"/>
        <v>0</v>
      </c>
      <c r="N89" s="93">
        <f>IF(OR(C89=53.328,M89&lt;=80%),0,D89*(Ocenenie!$E$56*(M89)*(M89)*(M89)+Ocenenie!$E$57*(M89)*(M89)+Ocenenie!$E$58*(M89)-Ocenenie!$E$60))</f>
        <v>0</v>
      </c>
    </row>
    <row r="90" spans="1:14" x14ac:dyDescent="0.25">
      <c r="A90" s="1" t="str">
        <f>Grafikon!$B79</f>
        <v>Os 4352</v>
      </c>
      <c r="B90" s="199"/>
      <c r="C90" s="2">
        <f>Grafikon!$D79</f>
        <v>26.718</v>
      </c>
      <c r="D90" s="3">
        <f>Grafikon!$H79</f>
        <v>200</v>
      </c>
      <c r="E90" s="10">
        <f>IFERROR(VLOOKUP($B90,Súpravy!$A$6:$Q$31,6,FALSE),0)</f>
        <v>0</v>
      </c>
      <c r="F90" s="31">
        <f t="shared" si="9"/>
        <v>0</v>
      </c>
      <c r="G90" s="10">
        <f>IFERROR(VLOOKUP($B90,Súpravy!$A$6:$Q$31,3,FALSE),0)</f>
        <v>0</v>
      </c>
      <c r="H90" s="17">
        <f t="shared" si="11"/>
        <v>0</v>
      </c>
      <c r="I90" s="12">
        <f>IFERROR(VLOOKUP($B90,Súpravy!$A$6:$Q$31,9,FALSE),0)</f>
        <v>0</v>
      </c>
      <c r="J90" s="12">
        <f>IFERROR(VLOOKUP($B90,Súpravy!$A$6:$Q$31,12,FALSE),0)</f>
        <v>0</v>
      </c>
      <c r="K90" s="12">
        <f>IFERROR(VLOOKUP($B90,Súpravy!$A$6:$Q$31,17,FALSE),0)</f>
        <v>0</v>
      </c>
      <c r="L90" s="12">
        <f>IFERROR(VLOOKUP($B90,Súpravy!$A$6:$Q$31,18,FALSE),0)</f>
        <v>0</v>
      </c>
      <c r="M90" s="17">
        <f t="shared" si="10"/>
        <v>0</v>
      </c>
      <c r="N90" s="93">
        <f>IF(OR(C90=53.328,M90&lt;=80%),0,D90*(Ocenenie!$E$56*(M90)*(M90)*(M90)+Ocenenie!$E$57*(M90)*(M90)+Ocenenie!$E$58*(M90)-Ocenenie!$E$60))</f>
        <v>0</v>
      </c>
    </row>
    <row r="91" spans="1:14" x14ac:dyDescent="0.25">
      <c r="A91" s="1" t="str">
        <f>Grafikon!$B80</f>
        <v>Os 4320</v>
      </c>
      <c r="B91" s="199"/>
      <c r="C91" s="2">
        <f>Grafikon!$D80</f>
        <v>46.847000000000001</v>
      </c>
      <c r="D91" s="3">
        <f>Grafikon!$H80</f>
        <v>300</v>
      </c>
      <c r="E91" s="10">
        <f>IFERROR(VLOOKUP($B91,Súpravy!$A$6:$Q$31,6,FALSE),0)</f>
        <v>0</v>
      </c>
      <c r="F91" s="31">
        <f t="shared" si="9"/>
        <v>0</v>
      </c>
      <c r="G91" s="10">
        <f>IFERROR(VLOOKUP($B91,Súpravy!$A$6:$Q$31,3,FALSE),0)</f>
        <v>0</v>
      </c>
      <c r="H91" s="17">
        <f t="shared" si="11"/>
        <v>0</v>
      </c>
      <c r="I91" s="12">
        <f>IFERROR(VLOOKUP($B91,Súpravy!$A$6:$Q$31,9,FALSE),0)</f>
        <v>0</v>
      </c>
      <c r="J91" s="12">
        <f>IFERROR(VLOOKUP($B91,Súpravy!$A$6:$Q$31,12,FALSE),0)</f>
        <v>0</v>
      </c>
      <c r="K91" s="12">
        <f>IFERROR(VLOOKUP($B91,Súpravy!$A$6:$Q$31,17,FALSE),0)</f>
        <v>0</v>
      </c>
      <c r="L91" s="12">
        <f>IFERROR(VLOOKUP($B91,Súpravy!$A$6:$Q$31,18,FALSE),0)</f>
        <v>0</v>
      </c>
      <c r="M91" s="17">
        <f t="shared" si="10"/>
        <v>0</v>
      </c>
      <c r="N91" s="93">
        <f>IF(OR(C91=53.328,M91&lt;=80%),0,D91*(Ocenenie!$E$56*(M91)*(M91)*(M91)+Ocenenie!$E$57*(M91)*(M91)+Ocenenie!$E$58*(M91)-Ocenenie!$E$60))</f>
        <v>0</v>
      </c>
    </row>
    <row r="92" spans="1:14" x14ac:dyDescent="0.25">
      <c r="A92" s="1" t="str">
        <f>Grafikon!$B81</f>
        <v>Zr 1780</v>
      </c>
      <c r="B92" s="199"/>
      <c r="C92" s="2">
        <f>Grafikon!$D81</f>
        <v>100.175</v>
      </c>
      <c r="D92" s="3">
        <f>Grafikon!$H81</f>
        <v>300</v>
      </c>
      <c r="E92" s="10">
        <f>IFERROR(VLOOKUP($B92,Súpravy!$A$6:$Q$31,6,FALSE),0)</f>
        <v>0</v>
      </c>
      <c r="F92" s="31">
        <f t="shared" si="9"/>
        <v>0</v>
      </c>
      <c r="G92" s="10">
        <f>IFERROR(VLOOKUP($B92,Súpravy!$A$6:$Q$31,3,FALSE),0)</f>
        <v>0</v>
      </c>
      <c r="H92" s="17">
        <f t="shared" si="11"/>
        <v>0</v>
      </c>
      <c r="I92" s="12">
        <f>IFERROR(VLOOKUP($B92,Súpravy!$A$6:$Q$31,9,FALSE),0)</f>
        <v>0</v>
      </c>
      <c r="J92" s="12">
        <f>IFERROR(VLOOKUP($B92,Súpravy!$A$6:$Q$31,12,FALSE),0)</f>
        <v>0</v>
      </c>
      <c r="K92" s="12">
        <f>IFERROR(VLOOKUP($B92,Súpravy!$A$6:$Q$31,17,FALSE),0)</f>
        <v>0</v>
      </c>
      <c r="L92" s="12">
        <f>IFERROR(VLOOKUP($B92,Súpravy!$A$6:$Q$31,18,FALSE),0)</f>
        <v>0</v>
      </c>
      <c r="M92" s="17">
        <f t="shared" si="10"/>
        <v>0</v>
      </c>
      <c r="N92" s="93">
        <f>IF(OR(C92=53.328,M92&lt;=80%),0,D92*(Ocenenie!$E$56*(M92)*(M92)*(M92)+Ocenenie!$E$57*(M92)*(M92)+Ocenenie!$E$58*(M92)-Ocenenie!$E$60))</f>
        <v>0</v>
      </c>
    </row>
    <row r="93" spans="1:14" x14ac:dyDescent="0.25">
      <c r="A93" s="1" t="str">
        <f>Grafikon!$B82</f>
        <v>Os 4354</v>
      </c>
      <c r="B93" s="199"/>
      <c r="C93" s="2">
        <f>Grafikon!$D82</f>
        <v>26.718</v>
      </c>
      <c r="D93" s="3">
        <f>Grafikon!$H82</f>
        <v>200</v>
      </c>
      <c r="E93" s="10">
        <f>IFERROR(VLOOKUP($B93,Súpravy!$A$6:$Q$31,6,FALSE),0)</f>
        <v>0</v>
      </c>
      <c r="F93" s="31">
        <f t="shared" si="9"/>
        <v>0</v>
      </c>
      <c r="G93" s="10">
        <f>IFERROR(VLOOKUP($B93,Súpravy!$A$6:$Q$31,3,FALSE),0)</f>
        <v>0</v>
      </c>
      <c r="H93" s="17">
        <f t="shared" si="11"/>
        <v>0</v>
      </c>
      <c r="I93" s="12">
        <f>IFERROR(VLOOKUP($B93,Súpravy!$A$6:$Q$31,9,FALSE),0)</f>
        <v>0</v>
      </c>
      <c r="J93" s="12">
        <f>IFERROR(VLOOKUP($B93,Súpravy!$A$6:$Q$31,12,FALSE),0)</f>
        <v>0</v>
      </c>
      <c r="K93" s="12">
        <f>IFERROR(VLOOKUP($B93,Súpravy!$A$6:$Q$31,17,FALSE),0)</f>
        <v>0</v>
      </c>
      <c r="L93" s="12">
        <f>IFERROR(VLOOKUP($B93,Súpravy!$A$6:$Q$31,18,FALSE),0)</f>
        <v>0</v>
      </c>
      <c r="M93" s="17">
        <f t="shared" si="10"/>
        <v>0</v>
      </c>
      <c r="N93" s="93">
        <f>IF(OR(C93=53.328,M93&lt;=80%),0,D93*(Ocenenie!$E$56*(M93)*(M93)*(M93)+Ocenenie!$E$57*(M93)*(M93)+Ocenenie!$E$58*(M93)-Ocenenie!$E$60))</f>
        <v>0</v>
      </c>
    </row>
    <row r="94" spans="1:14" x14ac:dyDescent="0.25">
      <c r="A94" s="1" t="str">
        <f>Grafikon!$B83</f>
        <v>Os 4322</v>
      </c>
      <c r="B94" s="199"/>
      <c r="C94" s="2">
        <f>Grafikon!$D83</f>
        <v>46.847000000000001</v>
      </c>
      <c r="D94" s="3">
        <f>Grafikon!$H83</f>
        <v>200</v>
      </c>
      <c r="E94" s="10">
        <f>IFERROR(VLOOKUP($B94,Súpravy!$A$6:$Q$31,6,FALSE),0)</f>
        <v>0</v>
      </c>
      <c r="F94" s="31">
        <f t="shared" si="9"/>
        <v>0</v>
      </c>
      <c r="G94" s="10">
        <f>IFERROR(VLOOKUP($B94,Súpravy!$A$6:$Q$31,3,FALSE),0)</f>
        <v>0</v>
      </c>
      <c r="H94" s="17">
        <f t="shared" si="11"/>
        <v>0</v>
      </c>
      <c r="I94" s="12">
        <f>IFERROR(VLOOKUP($B94,Súpravy!$A$6:$Q$31,9,FALSE),0)</f>
        <v>0</v>
      </c>
      <c r="J94" s="12">
        <f>IFERROR(VLOOKUP($B94,Súpravy!$A$6:$Q$31,12,FALSE),0)</f>
        <v>0</v>
      </c>
      <c r="K94" s="12">
        <f>IFERROR(VLOOKUP($B94,Súpravy!$A$6:$Q$31,17,FALSE),0)</f>
        <v>0</v>
      </c>
      <c r="L94" s="12">
        <f>IFERROR(VLOOKUP($B94,Súpravy!$A$6:$Q$31,18,FALSE),0)</f>
        <v>0</v>
      </c>
      <c r="M94" s="17">
        <f t="shared" si="10"/>
        <v>0</v>
      </c>
      <c r="N94" s="93">
        <f>IF(OR(C94=53.328,M94&lt;=80%),0,D94*(Ocenenie!$E$56*(M94)*(M94)*(M94)+Ocenenie!$E$57*(M94)*(M94)+Ocenenie!$E$58*(M94)-Ocenenie!$E$60))</f>
        <v>0</v>
      </c>
    </row>
    <row r="95" spans="1:14" x14ac:dyDescent="0.25">
      <c r="A95" s="1" t="str">
        <f>Grafikon!$B84</f>
        <v>Os 4376</v>
      </c>
      <c r="B95" s="199"/>
      <c r="C95" s="2">
        <f>Grafikon!$D84</f>
        <v>53.328000000000003</v>
      </c>
      <c r="D95" s="3">
        <f>Grafikon!$H84</f>
        <v>200</v>
      </c>
      <c r="E95" s="10">
        <f>IFERROR(VLOOKUP($B95,Súpravy!$A$6:$Q$31,6,FALSE),0)</f>
        <v>0</v>
      </c>
      <c r="F95" s="31">
        <f t="shared" si="9"/>
        <v>0</v>
      </c>
      <c r="G95" s="10">
        <f>IFERROR(VLOOKUP($B95,Súpravy!$A$6:$Q$31,3,FALSE),0)</f>
        <v>0</v>
      </c>
      <c r="H95" s="17">
        <f t="shared" si="11"/>
        <v>0</v>
      </c>
      <c r="I95" s="12">
        <f>IFERROR(VLOOKUP($B95,Súpravy!$A$6:$Q$31,9,FALSE),0)</f>
        <v>0</v>
      </c>
      <c r="J95" s="12">
        <f>IFERROR(VLOOKUP($B95,Súpravy!$A$6:$Q$31,12,FALSE),0)</f>
        <v>0</v>
      </c>
      <c r="K95" s="12">
        <f>IFERROR(VLOOKUP($B95,Súpravy!$A$6:$Q$31,17,FALSE),0)</f>
        <v>0</v>
      </c>
      <c r="L95" s="12">
        <f>IFERROR(VLOOKUP($B95,Súpravy!$A$6:$Q$31,18,FALSE),0)</f>
        <v>0</v>
      </c>
      <c r="M95" s="17">
        <f t="shared" si="10"/>
        <v>0</v>
      </c>
      <c r="N95" s="93">
        <f>IF(OR(C95=53.328,M95&lt;=80%),0,D95*(Ocenenie!$E$56*(M95)*(M95)*(M95)+Ocenenie!$E$57*(M95)*(M95)+Ocenenie!$E$58*(M95)-Ocenenie!$E$60))</f>
        <v>0</v>
      </c>
    </row>
    <row r="96" spans="1:14" x14ac:dyDescent="0.25">
      <c r="A96" s="1" t="str">
        <f>Grafikon!$B85</f>
        <v>Zr 1782</v>
      </c>
      <c r="B96" s="199"/>
      <c r="C96" s="2">
        <f>Grafikon!$D85</f>
        <v>46.847000000000001</v>
      </c>
      <c r="D96" s="3">
        <f>Grafikon!$H85</f>
        <v>100</v>
      </c>
      <c r="E96" s="10">
        <f>IFERROR(VLOOKUP($B96,Súpravy!$A$6:$Q$31,6,FALSE),0)</f>
        <v>0</v>
      </c>
      <c r="F96" s="31">
        <f t="shared" si="9"/>
        <v>0</v>
      </c>
      <c r="G96" s="10">
        <f>IFERROR(VLOOKUP($B96,Súpravy!$A$6:$Q$31,3,FALSE),0)</f>
        <v>0</v>
      </c>
      <c r="H96" s="17">
        <f t="shared" si="11"/>
        <v>0</v>
      </c>
      <c r="I96" s="12">
        <f>IFERROR(VLOOKUP($B96,Súpravy!$A$6:$Q$31,9,FALSE),0)</f>
        <v>0</v>
      </c>
      <c r="J96" s="12">
        <f>IFERROR(VLOOKUP($B96,Súpravy!$A$6:$Q$31,12,FALSE),0)</f>
        <v>0</v>
      </c>
      <c r="K96" s="12">
        <f>IFERROR(VLOOKUP($B96,Súpravy!$A$6:$Q$31,17,FALSE),0)</f>
        <v>0</v>
      </c>
      <c r="L96" s="12">
        <f>IFERROR(VLOOKUP($B96,Súpravy!$A$6:$Q$31,18,FALSE),0)</f>
        <v>0</v>
      </c>
      <c r="M96" s="17">
        <f t="shared" si="10"/>
        <v>0</v>
      </c>
      <c r="N96" s="93">
        <f>IF(OR(C96=53.328,M96&lt;=80%),0,D96*(Ocenenie!$E$56*(M96)*(M96)*(M96)+Ocenenie!$E$57*(M96)*(M96)+Ocenenie!$E$58*(M96)-Ocenenie!$E$60))</f>
        <v>0</v>
      </c>
    </row>
    <row r="97" spans="1:14" x14ac:dyDescent="0.25">
      <c r="A97" s="1" t="str">
        <f>Grafikon!$B86</f>
        <v>Os 4356</v>
      </c>
      <c r="B97" s="199"/>
      <c r="C97" s="2">
        <f>Grafikon!$D86</f>
        <v>26.718</v>
      </c>
      <c r="D97" s="3">
        <f>Grafikon!$H86</f>
        <v>200</v>
      </c>
      <c r="E97" s="10">
        <f>IFERROR(VLOOKUP($B97,Súpravy!$A$6:$Q$31,6,FALSE),0)</f>
        <v>0</v>
      </c>
      <c r="F97" s="31">
        <f t="shared" ref="F97:F113" si="12">MIN(E97/D97,1)</f>
        <v>0</v>
      </c>
      <c r="G97" s="10">
        <f>IFERROR(VLOOKUP($B97,Súpravy!$A$6:$Q$31,3,FALSE),0)</f>
        <v>0</v>
      </c>
      <c r="H97" s="17">
        <f t="shared" si="11"/>
        <v>0</v>
      </c>
      <c r="I97" s="12">
        <f>IFERROR(VLOOKUP($B97,Súpravy!$A$6:$Q$31,9,FALSE),0)</f>
        <v>0</v>
      </c>
      <c r="J97" s="12">
        <f>IFERROR(VLOOKUP($B97,Súpravy!$A$6:$Q$31,12,FALSE),0)</f>
        <v>0</v>
      </c>
      <c r="K97" s="12">
        <f>IFERROR(VLOOKUP($B97,Súpravy!$A$6:$Q$31,17,FALSE),0)</f>
        <v>0</v>
      </c>
      <c r="L97" s="12">
        <f>IFERROR(VLOOKUP($B97,Súpravy!$A$6:$Q$31,18,FALSE),0)</f>
        <v>0</v>
      </c>
      <c r="M97" s="17">
        <f t="shared" ref="M97:M113" si="13">IFERROR(D97/G97,0)</f>
        <v>0</v>
      </c>
      <c r="N97" s="93">
        <f>IF(OR(C97=53.328,M97&lt;=80%),0,D97*(Ocenenie!$E$56*(M97)*(M97)*(M97)+Ocenenie!$E$57*(M97)*(M97)+Ocenenie!$E$58*(M97)-Ocenenie!$E$60))</f>
        <v>0</v>
      </c>
    </row>
    <row r="98" spans="1:14" x14ac:dyDescent="0.25">
      <c r="A98" s="1" t="str">
        <f>Grafikon!$B87</f>
        <v>Os 4324</v>
      </c>
      <c r="B98" s="199"/>
      <c r="C98" s="2">
        <f>Grafikon!$D87</f>
        <v>46.847000000000001</v>
      </c>
      <c r="D98" s="3">
        <f>Grafikon!$H87</f>
        <v>200</v>
      </c>
      <c r="E98" s="10">
        <f>IFERROR(VLOOKUP($B98,Súpravy!$A$6:$Q$31,6,FALSE),0)</f>
        <v>0</v>
      </c>
      <c r="F98" s="31">
        <f t="shared" si="12"/>
        <v>0</v>
      </c>
      <c r="G98" s="10">
        <f>IFERROR(VLOOKUP($B98,Súpravy!$A$6:$Q$31,3,FALSE),0)</f>
        <v>0</v>
      </c>
      <c r="H98" s="17">
        <f t="shared" si="11"/>
        <v>0</v>
      </c>
      <c r="I98" s="12">
        <f>IFERROR(VLOOKUP($B98,Súpravy!$A$6:$Q$31,9,FALSE),0)</f>
        <v>0</v>
      </c>
      <c r="J98" s="12">
        <f>IFERROR(VLOOKUP($B98,Súpravy!$A$6:$Q$31,12,FALSE),0)</f>
        <v>0</v>
      </c>
      <c r="K98" s="12">
        <f>IFERROR(VLOOKUP($B98,Súpravy!$A$6:$Q$31,17,FALSE),0)</f>
        <v>0</v>
      </c>
      <c r="L98" s="12">
        <f>IFERROR(VLOOKUP($B98,Súpravy!$A$6:$Q$31,18,FALSE),0)</f>
        <v>0</v>
      </c>
      <c r="M98" s="17">
        <f t="shared" si="13"/>
        <v>0</v>
      </c>
      <c r="N98" s="93">
        <f>IF(OR(C98=53.328,M98&lt;=80%),0,D98*(Ocenenie!$E$56*(M98)*(M98)*(M98)+Ocenenie!$E$57*(M98)*(M98)+Ocenenie!$E$58*(M98)-Ocenenie!$E$60))</f>
        <v>0</v>
      </c>
    </row>
    <row r="99" spans="1:14" x14ac:dyDescent="0.25">
      <c r="A99" s="1" t="str">
        <f>Grafikon!$B88</f>
        <v>Zr 1784</v>
      </c>
      <c r="B99" s="199"/>
      <c r="C99" s="2">
        <f>Grafikon!$D88</f>
        <v>100.175</v>
      </c>
      <c r="D99" s="3">
        <f>Grafikon!$H88</f>
        <v>100</v>
      </c>
      <c r="E99" s="10">
        <f>IFERROR(VLOOKUP($B99,Súpravy!$A$6:$Q$31,6,FALSE),0)</f>
        <v>0</v>
      </c>
      <c r="F99" s="31">
        <f t="shared" si="12"/>
        <v>0</v>
      </c>
      <c r="G99" s="10">
        <f>IFERROR(VLOOKUP($B99,Súpravy!$A$6:$Q$31,3,FALSE),0)</f>
        <v>0</v>
      </c>
      <c r="H99" s="17">
        <f t="shared" si="11"/>
        <v>0</v>
      </c>
      <c r="I99" s="12">
        <f>IFERROR(VLOOKUP($B99,Súpravy!$A$6:$Q$31,9,FALSE),0)</f>
        <v>0</v>
      </c>
      <c r="J99" s="12">
        <f>IFERROR(VLOOKUP($B99,Súpravy!$A$6:$Q$31,12,FALSE),0)</f>
        <v>0</v>
      </c>
      <c r="K99" s="12">
        <f>IFERROR(VLOOKUP($B99,Súpravy!$A$6:$Q$31,17,FALSE),0)</f>
        <v>0</v>
      </c>
      <c r="L99" s="12">
        <f>IFERROR(VLOOKUP($B99,Súpravy!$A$6:$Q$31,18,FALSE),0)</f>
        <v>0</v>
      </c>
      <c r="M99" s="17">
        <f t="shared" si="13"/>
        <v>0</v>
      </c>
      <c r="N99" s="93">
        <f>IF(OR(C99=53.328,M99&lt;=80%),0,D99*(Ocenenie!$E$56*(M99)*(M99)*(M99)+Ocenenie!$E$57*(M99)*(M99)+Ocenenie!$E$58*(M99)-Ocenenie!$E$60))</f>
        <v>0</v>
      </c>
    </row>
    <row r="100" spans="1:14" x14ac:dyDescent="0.25">
      <c r="A100" s="1" t="str">
        <f>Grafikon!$B89</f>
        <v>Os 4358</v>
      </c>
      <c r="B100" s="199"/>
      <c r="C100" s="2">
        <f>Grafikon!$D89</f>
        <v>26.718</v>
      </c>
      <c r="D100" s="3">
        <f>Grafikon!$H89</f>
        <v>100</v>
      </c>
      <c r="E100" s="10">
        <f>IFERROR(VLOOKUP($B100,Súpravy!$A$6:$Q$31,6,FALSE),0)</f>
        <v>0</v>
      </c>
      <c r="F100" s="31">
        <f t="shared" si="12"/>
        <v>0</v>
      </c>
      <c r="G100" s="10">
        <f>IFERROR(VLOOKUP($B100,Súpravy!$A$6:$Q$31,3,FALSE),0)</f>
        <v>0</v>
      </c>
      <c r="H100" s="17">
        <f t="shared" si="11"/>
        <v>0</v>
      </c>
      <c r="I100" s="12">
        <f>IFERROR(VLOOKUP($B100,Súpravy!$A$6:$Q$31,9,FALSE),0)</f>
        <v>0</v>
      </c>
      <c r="J100" s="12">
        <f>IFERROR(VLOOKUP($B100,Súpravy!$A$6:$Q$31,12,FALSE),0)</f>
        <v>0</v>
      </c>
      <c r="K100" s="12">
        <f>IFERROR(VLOOKUP($B100,Súpravy!$A$6:$Q$31,17,FALSE),0)</f>
        <v>0</v>
      </c>
      <c r="L100" s="12">
        <f>IFERROR(VLOOKUP($B100,Súpravy!$A$6:$Q$31,18,FALSE),0)</f>
        <v>0</v>
      </c>
      <c r="M100" s="17">
        <f t="shared" si="13"/>
        <v>0</v>
      </c>
      <c r="N100" s="93">
        <f>IF(OR(C100=53.328,M100&lt;=80%),0,D100*(Ocenenie!$E$56*(M100)*(M100)*(M100)+Ocenenie!$E$57*(M100)*(M100)+Ocenenie!$E$58*(M100)-Ocenenie!$E$60))</f>
        <v>0</v>
      </c>
    </row>
    <row r="101" spans="1:14" x14ac:dyDescent="0.25">
      <c r="A101" s="1" t="str">
        <f>Grafikon!$B90</f>
        <v>Os 4326</v>
      </c>
      <c r="B101" s="199"/>
      <c r="C101" s="2">
        <f>Grafikon!$D90</f>
        <v>46.847000000000001</v>
      </c>
      <c r="D101" s="3">
        <f>Grafikon!$H90</f>
        <v>200</v>
      </c>
      <c r="E101" s="10">
        <f>IFERROR(VLOOKUP($B101,Súpravy!$A$6:$Q$31,6,FALSE),0)</f>
        <v>0</v>
      </c>
      <c r="F101" s="31">
        <f t="shared" si="12"/>
        <v>0</v>
      </c>
      <c r="G101" s="10">
        <f>IFERROR(VLOOKUP($B101,Súpravy!$A$6:$Q$31,3,FALSE),0)</f>
        <v>0</v>
      </c>
      <c r="H101" s="17">
        <f t="shared" si="11"/>
        <v>0</v>
      </c>
      <c r="I101" s="12">
        <f>IFERROR(VLOOKUP($B101,Súpravy!$A$6:$Q$31,9,FALSE),0)</f>
        <v>0</v>
      </c>
      <c r="J101" s="12">
        <f>IFERROR(VLOOKUP($B101,Súpravy!$A$6:$Q$31,12,FALSE),0)</f>
        <v>0</v>
      </c>
      <c r="K101" s="12">
        <f>IFERROR(VLOOKUP($B101,Súpravy!$A$6:$Q$31,17,FALSE),0)</f>
        <v>0</v>
      </c>
      <c r="L101" s="12">
        <f>IFERROR(VLOOKUP($B101,Súpravy!$A$6:$Q$31,18,FALSE),0)</f>
        <v>0</v>
      </c>
      <c r="M101" s="17">
        <f t="shared" si="13"/>
        <v>0</v>
      </c>
      <c r="N101" s="93">
        <f>IF(OR(C101=53.328,M101&lt;=80%),0,D101*(Ocenenie!$E$56*(M101)*(M101)*(M101)+Ocenenie!$E$57*(M101)*(M101)+Ocenenie!$E$58*(M101)-Ocenenie!$E$60))</f>
        <v>0</v>
      </c>
    </row>
    <row r="102" spans="1:14" x14ac:dyDescent="0.25">
      <c r="A102" s="1" t="str">
        <f>Grafikon!$B91</f>
        <v>Os 4378</v>
      </c>
      <c r="B102" s="199"/>
      <c r="C102" s="2">
        <f>Grafikon!$D91</f>
        <v>53.328000000000003</v>
      </c>
      <c r="D102" s="3">
        <f>Grafikon!$H91</f>
        <v>100</v>
      </c>
      <c r="E102" s="10">
        <f>IFERROR(VLOOKUP($B102,Súpravy!$A$6:$Q$31,6,FALSE),0)</f>
        <v>0</v>
      </c>
      <c r="F102" s="31">
        <f t="shared" si="12"/>
        <v>0</v>
      </c>
      <c r="G102" s="10">
        <f>IFERROR(VLOOKUP($B102,Súpravy!$A$6:$Q$31,3,FALSE),0)</f>
        <v>0</v>
      </c>
      <c r="H102" s="17">
        <f t="shared" si="11"/>
        <v>0</v>
      </c>
      <c r="I102" s="12">
        <f>IFERROR(VLOOKUP($B102,Súpravy!$A$6:$Q$31,9,FALSE),0)</f>
        <v>0</v>
      </c>
      <c r="J102" s="12">
        <f>IFERROR(VLOOKUP($B102,Súpravy!$A$6:$Q$31,12,FALSE),0)</f>
        <v>0</v>
      </c>
      <c r="K102" s="12">
        <f>IFERROR(VLOOKUP($B102,Súpravy!$A$6:$Q$31,17,FALSE),0)</f>
        <v>0</v>
      </c>
      <c r="L102" s="12">
        <f>IFERROR(VLOOKUP($B102,Súpravy!$A$6:$Q$31,18,FALSE),0)</f>
        <v>0</v>
      </c>
      <c r="M102" s="17">
        <f t="shared" si="13"/>
        <v>0</v>
      </c>
      <c r="N102" s="93">
        <f>IF(OR(C102=53.328,M102&lt;=80%),0,D102*(Ocenenie!$E$56*(M102)*(M102)*(M102)+Ocenenie!$E$57*(M102)*(M102)+Ocenenie!$E$58*(M102)-Ocenenie!$E$60))</f>
        <v>0</v>
      </c>
    </row>
    <row r="103" spans="1:14" x14ac:dyDescent="0.25">
      <c r="A103" s="1" t="str">
        <f>Grafikon!$B92</f>
        <v>Zr 1786</v>
      </c>
      <c r="B103" s="199"/>
      <c r="C103" s="2">
        <f>Grafikon!$D92</f>
        <v>46.847000000000001</v>
      </c>
      <c r="D103" s="3">
        <f>Grafikon!$H92</f>
        <v>100</v>
      </c>
      <c r="E103" s="10">
        <f>IFERROR(VLOOKUP($B103,Súpravy!$A$6:$Q$31,6,FALSE),0)</f>
        <v>0</v>
      </c>
      <c r="F103" s="31">
        <f t="shared" si="12"/>
        <v>0</v>
      </c>
      <c r="G103" s="10">
        <f>IFERROR(VLOOKUP($B103,Súpravy!$A$6:$Q$31,3,FALSE),0)</f>
        <v>0</v>
      </c>
      <c r="H103" s="17">
        <f t="shared" si="11"/>
        <v>0</v>
      </c>
      <c r="I103" s="12">
        <f>IFERROR(VLOOKUP($B103,Súpravy!$A$6:$Q$31,9,FALSE),0)</f>
        <v>0</v>
      </c>
      <c r="J103" s="12">
        <f>IFERROR(VLOOKUP($B103,Súpravy!$A$6:$Q$31,12,FALSE),0)</f>
        <v>0</v>
      </c>
      <c r="K103" s="12">
        <f>IFERROR(VLOOKUP($B103,Súpravy!$A$6:$Q$31,17,FALSE),0)</f>
        <v>0</v>
      </c>
      <c r="L103" s="12">
        <f>IFERROR(VLOOKUP($B103,Súpravy!$A$6:$Q$31,18,FALSE),0)</f>
        <v>0</v>
      </c>
      <c r="M103" s="17">
        <f t="shared" si="13"/>
        <v>0</v>
      </c>
      <c r="N103" s="93">
        <f>IF(OR(C103=53.328,M103&lt;=80%),0,D103*(Ocenenie!$E$56*(M103)*(M103)*(M103)+Ocenenie!$E$57*(M103)*(M103)+Ocenenie!$E$58*(M103)-Ocenenie!$E$60))</f>
        <v>0</v>
      </c>
    </row>
    <row r="104" spans="1:14" x14ac:dyDescent="0.25">
      <c r="A104" s="1" t="str">
        <f>Grafikon!$B93</f>
        <v>Os 4360</v>
      </c>
      <c r="B104" s="199"/>
      <c r="C104" s="2">
        <f>Grafikon!$D93</f>
        <v>26.718</v>
      </c>
      <c r="D104" s="3">
        <f>Grafikon!$H93</f>
        <v>100</v>
      </c>
      <c r="E104" s="10">
        <f>IFERROR(VLOOKUP($B104,Súpravy!$A$6:$Q$31,6,FALSE),0)</f>
        <v>0</v>
      </c>
      <c r="F104" s="31">
        <f t="shared" si="12"/>
        <v>0</v>
      </c>
      <c r="G104" s="10">
        <f>IFERROR(VLOOKUP($B104,Súpravy!$A$6:$Q$31,3,FALSE),0)</f>
        <v>0</v>
      </c>
      <c r="H104" s="17">
        <f t="shared" si="11"/>
        <v>0</v>
      </c>
      <c r="I104" s="12">
        <f>IFERROR(VLOOKUP($B104,Súpravy!$A$6:$Q$31,9,FALSE),0)</f>
        <v>0</v>
      </c>
      <c r="J104" s="12">
        <f>IFERROR(VLOOKUP($B104,Súpravy!$A$6:$Q$31,12,FALSE),0)</f>
        <v>0</v>
      </c>
      <c r="K104" s="12">
        <f>IFERROR(VLOOKUP($B104,Súpravy!$A$6:$Q$31,17,FALSE),0)</f>
        <v>0</v>
      </c>
      <c r="L104" s="12">
        <f>IFERROR(VLOOKUP($B104,Súpravy!$A$6:$Q$31,18,FALSE),0)</f>
        <v>0</v>
      </c>
      <c r="M104" s="17">
        <f t="shared" si="13"/>
        <v>0</v>
      </c>
      <c r="N104" s="93">
        <f>IF(OR(C104=53.328,M104&lt;=80%),0,D104*(Ocenenie!$E$56*(M104)*(M104)*(M104)+Ocenenie!$E$57*(M104)*(M104)+Ocenenie!$E$58*(M104)-Ocenenie!$E$60))</f>
        <v>0</v>
      </c>
    </row>
    <row r="105" spans="1:14" x14ac:dyDescent="0.25">
      <c r="A105" s="1" t="str">
        <f>Grafikon!$B94</f>
        <v>Os 4328</v>
      </c>
      <c r="B105" s="199"/>
      <c r="C105" s="2">
        <f>Grafikon!$D94</f>
        <v>46.847000000000001</v>
      </c>
      <c r="D105" s="3">
        <f>Grafikon!$H94</f>
        <v>100</v>
      </c>
      <c r="E105" s="10">
        <f>IFERROR(VLOOKUP($B105,Súpravy!$A$6:$Q$31,6,FALSE),0)</f>
        <v>0</v>
      </c>
      <c r="F105" s="31">
        <f t="shared" si="12"/>
        <v>0</v>
      </c>
      <c r="G105" s="10">
        <f>IFERROR(VLOOKUP($B105,Súpravy!$A$6:$Q$31,3,FALSE),0)</f>
        <v>0</v>
      </c>
      <c r="H105" s="17">
        <f t="shared" si="11"/>
        <v>0</v>
      </c>
      <c r="I105" s="12">
        <f>IFERROR(VLOOKUP($B105,Súpravy!$A$6:$Q$31,9,FALSE),0)</f>
        <v>0</v>
      </c>
      <c r="J105" s="12">
        <f>IFERROR(VLOOKUP($B105,Súpravy!$A$6:$Q$31,12,FALSE),0)</f>
        <v>0</v>
      </c>
      <c r="K105" s="12">
        <f>IFERROR(VLOOKUP($B105,Súpravy!$A$6:$Q$31,17,FALSE),0)</f>
        <v>0</v>
      </c>
      <c r="L105" s="12">
        <f>IFERROR(VLOOKUP($B105,Súpravy!$A$6:$Q$31,18,FALSE),0)</f>
        <v>0</v>
      </c>
      <c r="M105" s="17">
        <f t="shared" si="13"/>
        <v>0</v>
      </c>
      <c r="N105" s="93">
        <f>IF(OR(C105=53.328,M105&lt;=80%),0,D105*(Ocenenie!$E$56*(M105)*(M105)*(M105)+Ocenenie!$E$57*(M105)*(M105)+Ocenenie!$E$58*(M105)-Ocenenie!$E$60))</f>
        <v>0</v>
      </c>
    </row>
    <row r="106" spans="1:14" x14ac:dyDescent="0.25">
      <c r="A106" s="1" t="str">
        <f>Grafikon!$B95</f>
        <v>Zr 1788</v>
      </c>
      <c r="B106" s="199"/>
      <c r="C106" s="2">
        <f>Grafikon!$D95</f>
        <v>100.175</v>
      </c>
      <c r="D106" s="3">
        <f>Grafikon!$H95</f>
        <v>100</v>
      </c>
      <c r="E106" s="10">
        <f>IFERROR(VLOOKUP($B106,Súpravy!$A$6:$Q$31,6,FALSE),0)</f>
        <v>0</v>
      </c>
      <c r="F106" s="31">
        <f t="shared" si="12"/>
        <v>0</v>
      </c>
      <c r="G106" s="10">
        <f>IFERROR(VLOOKUP($B106,Súpravy!$A$6:$Q$31,3,FALSE),0)</f>
        <v>0</v>
      </c>
      <c r="H106" s="17">
        <f t="shared" si="11"/>
        <v>0</v>
      </c>
      <c r="I106" s="12">
        <f>IFERROR(VLOOKUP($B106,Súpravy!$A$6:$Q$31,9,FALSE),0)</f>
        <v>0</v>
      </c>
      <c r="J106" s="12">
        <f>IFERROR(VLOOKUP($B106,Súpravy!$A$6:$Q$31,12,FALSE),0)</f>
        <v>0</v>
      </c>
      <c r="K106" s="12">
        <f>IFERROR(VLOOKUP($B106,Súpravy!$A$6:$Q$31,17,FALSE),0)</f>
        <v>0</v>
      </c>
      <c r="L106" s="12">
        <f>IFERROR(VLOOKUP($B106,Súpravy!$A$6:$Q$31,18,FALSE),0)</f>
        <v>0</v>
      </c>
      <c r="M106" s="17">
        <f t="shared" si="13"/>
        <v>0</v>
      </c>
      <c r="N106" s="93">
        <f>IF(OR(C106=53.328,M106&lt;=80%),0,D106*(Ocenenie!$E$56*(M106)*(M106)*(M106)+Ocenenie!$E$57*(M106)*(M106)+Ocenenie!$E$58*(M106)-Ocenenie!$E$60))</f>
        <v>0</v>
      </c>
    </row>
    <row r="107" spans="1:14" x14ac:dyDescent="0.25">
      <c r="A107" s="1" t="str">
        <f>Grafikon!$B96</f>
        <v>Os 4362</v>
      </c>
      <c r="B107" s="199"/>
      <c r="C107" s="2">
        <f>Grafikon!$D96</f>
        <v>26.718</v>
      </c>
      <c r="D107" s="3">
        <f>Grafikon!$H96</f>
        <v>100</v>
      </c>
      <c r="E107" s="10">
        <f>IFERROR(VLOOKUP($B107,Súpravy!$A$6:$Q$31,6,FALSE),0)</f>
        <v>0</v>
      </c>
      <c r="F107" s="31">
        <f t="shared" si="12"/>
        <v>0</v>
      </c>
      <c r="G107" s="10">
        <f>IFERROR(VLOOKUP($B107,Súpravy!$A$6:$Q$31,3,FALSE),0)</f>
        <v>0</v>
      </c>
      <c r="H107" s="17">
        <f t="shared" si="11"/>
        <v>0</v>
      </c>
      <c r="I107" s="12">
        <f>IFERROR(VLOOKUP($B107,Súpravy!$A$6:$Q$31,9,FALSE),0)</f>
        <v>0</v>
      </c>
      <c r="J107" s="12">
        <f>IFERROR(VLOOKUP($B107,Súpravy!$A$6:$Q$31,12,FALSE),0)</f>
        <v>0</v>
      </c>
      <c r="K107" s="12">
        <f>IFERROR(VLOOKUP($B107,Súpravy!$A$6:$Q$31,17,FALSE),0)</f>
        <v>0</v>
      </c>
      <c r="L107" s="12">
        <f>IFERROR(VLOOKUP($B107,Súpravy!$A$6:$Q$31,18,FALSE),0)</f>
        <v>0</v>
      </c>
      <c r="M107" s="17">
        <f t="shared" si="13"/>
        <v>0</v>
      </c>
      <c r="N107" s="93">
        <f>IF(OR(C107=53.328,M107&lt;=80%),0,D107*(Ocenenie!$E$56*(M107)*(M107)*(M107)+Ocenenie!$E$57*(M107)*(M107)+Ocenenie!$E$58*(M107)-Ocenenie!$E$60))</f>
        <v>0</v>
      </c>
    </row>
    <row r="108" spans="1:14" x14ac:dyDescent="0.25">
      <c r="A108" s="1" t="str">
        <f>Grafikon!$B97</f>
        <v>Os 4330</v>
      </c>
      <c r="B108" s="199"/>
      <c r="C108" s="2">
        <f>Grafikon!$D97</f>
        <v>46.847000000000001</v>
      </c>
      <c r="D108" s="3">
        <f>Grafikon!$H97</f>
        <v>100</v>
      </c>
      <c r="E108" s="10">
        <f>IFERROR(VLOOKUP($B108,Súpravy!$A$6:$Q$31,6,FALSE),0)</f>
        <v>0</v>
      </c>
      <c r="F108" s="31">
        <f t="shared" si="12"/>
        <v>0</v>
      </c>
      <c r="G108" s="10">
        <f>IFERROR(VLOOKUP($B108,Súpravy!$A$6:$Q$31,3,FALSE),0)</f>
        <v>0</v>
      </c>
      <c r="H108" s="17">
        <f t="shared" si="11"/>
        <v>0</v>
      </c>
      <c r="I108" s="12">
        <f>IFERROR(VLOOKUP($B108,Súpravy!$A$6:$Q$31,9,FALSE),0)</f>
        <v>0</v>
      </c>
      <c r="J108" s="12">
        <f>IFERROR(VLOOKUP($B108,Súpravy!$A$6:$Q$31,12,FALSE),0)</f>
        <v>0</v>
      </c>
      <c r="K108" s="12">
        <f>IFERROR(VLOOKUP($B108,Súpravy!$A$6:$Q$31,17,FALSE),0)</f>
        <v>0</v>
      </c>
      <c r="L108" s="12">
        <f>IFERROR(VLOOKUP($B108,Súpravy!$A$6:$Q$31,18,FALSE),0)</f>
        <v>0</v>
      </c>
      <c r="M108" s="17">
        <f t="shared" si="13"/>
        <v>0</v>
      </c>
      <c r="N108" s="93">
        <f>IF(OR(C108=53.328,M108&lt;=80%),0,D108*(Ocenenie!$E$56*(M108)*(M108)*(M108)+Ocenenie!$E$57*(M108)*(M108)+Ocenenie!$E$58*(M108)-Ocenenie!$E$60))</f>
        <v>0</v>
      </c>
    </row>
    <row r="109" spans="1:14" x14ac:dyDescent="0.25">
      <c r="A109" s="1" t="str">
        <f>Grafikon!$B98</f>
        <v>Os 4380</v>
      </c>
      <c r="B109" s="199"/>
      <c r="C109" s="2">
        <f>Grafikon!$D98</f>
        <v>53.328000000000003</v>
      </c>
      <c r="D109" s="3">
        <f>Grafikon!$H98</f>
        <v>100</v>
      </c>
      <c r="E109" s="10">
        <f>IFERROR(VLOOKUP($B109,Súpravy!$A$6:$Q$31,6,FALSE),0)</f>
        <v>0</v>
      </c>
      <c r="F109" s="31">
        <f t="shared" si="12"/>
        <v>0</v>
      </c>
      <c r="G109" s="10">
        <f>IFERROR(VLOOKUP($B109,Súpravy!$A$6:$Q$31,3,FALSE),0)</f>
        <v>0</v>
      </c>
      <c r="H109" s="17">
        <f t="shared" si="11"/>
        <v>0</v>
      </c>
      <c r="I109" s="12">
        <f>IFERROR(VLOOKUP($B109,Súpravy!$A$6:$Q$31,9,FALSE),0)</f>
        <v>0</v>
      </c>
      <c r="J109" s="12">
        <f>IFERROR(VLOOKUP($B109,Súpravy!$A$6:$Q$31,12,FALSE),0)</f>
        <v>0</v>
      </c>
      <c r="K109" s="12">
        <f>IFERROR(VLOOKUP($B109,Súpravy!$A$6:$Q$31,17,FALSE),0)</f>
        <v>0</v>
      </c>
      <c r="L109" s="12">
        <f>IFERROR(VLOOKUP($B109,Súpravy!$A$6:$Q$31,18,FALSE),0)</f>
        <v>0</v>
      </c>
      <c r="M109" s="17">
        <f t="shared" si="13"/>
        <v>0</v>
      </c>
      <c r="N109" s="93">
        <f>IF(OR(C109=53.328,M109&lt;=80%),0,D109*(Ocenenie!$E$56*(M109)*(M109)*(M109)+Ocenenie!$E$57*(M109)*(M109)+Ocenenie!$E$58*(M109)-Ocenenie!$E$60))</f>
        <v>0</v>
      </c>
    </row>
    <row r="110" spans="1:14" x14ac:dyDescent="0.25">
      <c r="A110" s="1" t="str">
        <f>Grafikon!$B99</f>
        <v>Zr 1790</v>
      </c>
      <c r="B110" s="199"/>
      <c r="C110" s="2">
        <f>Grafikon!$D99</f>
        <v>46.847000000000001</v>
      </c>
      <c r="D110" s="3">
        <f>Grafikon!$H99</f>
        <v>100</v>
      </c>
      <c r="E110" s="10">
        <f>IFERROR(VLOOKUP($B110,Súpravy!$A$6:$Q$31,6,FALSE),0)</f>
        <v>0</v>
      </c>
      <c r="F110" s="31">
        <f t="shared" si="12"/>
        <v>0</v>
      </c>
      <c r="G110" s="10">
        <f>IFERROR(VLOOKUP($B110,Súpravy!$A$6:$Q$31,3,FALSE),0)</f>
        <v>0</v>
      </c>
      <c r="H110" s="17">
        <f t="shared" si="11"/>
        <v>0</v>
      </c>
      <c r="I110" s="12">
        <f>IFERROR(VLOOKUP($B110,Súpravy!$A$6:$Q$31,9,FALSE),0)</f>
        <v>0</v>
      </c>
      <c r="J110" s="12">
        <f>IFERROR(VLOOKUP($B110,Súpravy!$A$6:$Q$31,12,FALSE),0)</f>
        <v>0</v>
      </c>
      <c r="K110" s="12">
        <f>IFERROR(VLOOKUP($B110,Súpravy!$A$6:$Q$31,17,FALSE),0)</f>
        <v>0</v>
      </c>
      <c r="L110" s="12">
        <f>IFERROR(VLOOKUP($B110,Súpravy!$A$6:$Q$31,18,FALSE),0)</f>
        <v>0</v>
      </c>
      <c r="M110" s="17">
        <f t="shared" si="13"/>
        <v>0</v>
      </c>
      <c r="N110" s="93">
        <f>IF(OR(C110=53.328,M110&lt;=80%),0,D110*(Ocenenie!$E$56*(M110)*(M110)*(M110)+Ocenenie!$E$57*(M110)*(M110)+Ocenenie!$E$58*(M110)-Ocenenie!$E$60))</f>
        <v>0</v>
      </c>
    </row>
    <row r="111" spans="1:14" x14ac:dyDescent="0.25">
      <c r="A111" s="1" t="str">
        <f>Grafikon!$B100</f>
        <v>Os 4364</v>
      </c>
      <c r="B111" s="199"/>
      <c r="C111" s="2">
        <f>Grafikon!$D100</f>
        <v>26.718</v>
      </c>
      <c r="D111" s="3">
        <f>Grafikon!$H100</f>
        <v>100</v>
      </c>
      <c r="E111" s="10">
        <f>IFERROR(VLOOKUP($B111,Súpravy!$A$6:$Q$31,6,FALSE),0)</f>
        <v>0</v>
      </c>
      <c r="F111" s="31">
        <f t="shared" si="12"/>
        <v>0</v>
      </c>
      <c r="G111" s="10">
        <f>IFERROR(VLOOKUP($B111,Súpravy!$A$6:$Q$31,3,FALSE),0)</f>
        <v>0</v>
      </c>
      <c r="H111" s="17">
        <f t="shared" si="11"/>
        <v>0</v>
      </c>
      <c r="I111" s="12">
        <f>IFERROR(VLOOKUP($B111,Súpravy!$A$6:$Q$31,9,FALSE),0)</f>
        <v>0</v>
      </c>
      <c r="J111" s="12">
        <f>IFERROR(VLOOKUP($B111,Súpravy!$A$6:$Q$31,12,FALSE),0)</f>
        <v>0</v>
      </c>
      <c r="K111" s="12">
        <f>IFERROR(VLOOKUP($B111,Súpravy!$A$6:$Q$31,17,FALSE),0)</f>
        <v>0</v>
      </c>
      <c r="L111" s="12">
        <f>IFERROR(VLOOKUP($B111,Súpravy!$A$6:$Q$31,18,FALSE),0)</f>
        <v>0</v>
      </c>
      <c r="M111" s="17">
        <f t="shared" si="13"/>
        <v>0</v>
      </c>
      <c r="N111" s="93">
        <f>IF(OR(C111=53.328,M111&lt;=80%),0,D111*(Ocenenie!$E$56*(M111)*(M111)*(M111)+Ocenenie!$E$57*(M111)*(M111)+Ocenenie!$E$58*(M111)-Ocenenie!$E$60))</f>
        <v>0</v>
      </c>
    </row>
    <row r="112" spans="1:14" x14ac:dyDescent="0.25">
      <c r="A112" s="1" t="str">
        <f>Grafikon!$B101</f>
        <v>Os 4382</v>
      </c>
      <c r="B112" s="199"/>
      <c r="C112" s="2">
        <f>Grafikon!$D101</f>
        <v>53.328000000000003</v>
      </c>
      <c r="D112" s="3">
        <f>Grafikon!$H101</f>
        <v>100</v>
      </c>
      <c r="E112" s="10">
        <f>IFERROR(VLOOKUP($B112,Súpravy!$A$6:$Q$31,6,FALSE),0)</f>
        <v>0</v>
      </c>
      <c r="F112" s="31">
        <f t="shared" si="12"/>
        <v>0</v>
      </c>
      <c r="G112" s="10">
        <f>IFERROR(VLOOKUP($B112,Súpravy!$A$6:$Q$31,3,FALSE),0)</f>
        <v>0</v>
      </c>
      <c r="H112" s="17">
        <f t="shared" si="11"/>
        <v>0</v>
      </c>
      <c r="I112" s="12">
        <f>IFERROR(VLOOKUP($B112,Súpravy!$A$6:$Q$31,9,FALSE),0)</f>
        <v>0</v>
      </c>
      <c r="J112" s="12">
        <f>IFERROR(VLOOKUP($B112,Súpravy!$A$6:$Q$31,12,FALSE),0)</f>
        <v>0</v>
      </c>
      <c r="K112" s="12">
        <f>IFERROR(VLOOKUP($B112,Súpravy!$A$6:$Q$31,17,FALSE),0)</f>
        <v>0</v>
      </c>
      <c r="L112" s="12">
        <f>IFERROR(VLOOKUP($B112,Súpravy!$A$6:$Q$31,18,FALSE),0)</f>
        <v>0</v>
      </c>
      <c r="M112" s="17">
        <f t="shared" si="13"/>
        <v>0</v>
      </c>
      <c r="N112" s="93">
        <f>IF(OR(C112=53.328,M112&lt;=80%),0,D112*(Ocenenie!$E$56*(M112)*(M112)*(M112)+Ocenenie!$E$57*(M112)*(M112)+Ocenenie!$E$58*(M112)-Ocenenie!$E$60))</f>
        <v>0</v>
      </c>
    </row>
    <row r="113" spans="1:14" x14ac:dyDescent="0.25">
      <c r="A113" s="1" t="str">
        <f>Grafikon!$B102</f>
        <v>Os 4336</v>
      </c>
      <c r="B113" s="199"/>
      <c r="C113" s="2">
        <f>Grafikon!$D102</f>
        <v>46.847000000000001</v>
      </c>
      <c r="D113" s="3">
        <f>Grafikon!$H102</f>
        <v>100</v>
      </c>
      <c r="E113" s="10">
        <f>IFERROR(VLOOKUP($B113,Súpravy!$A$6:$Q$31,6,FALSE),0)</f>
        <v>0</v>
      </c>
      <c r="F113" s="31">
        <f t="shared" si="12"/>
        <v>0</v>
      </c>
      <c r="G113" s="10">
        <f>IFERROR(VLOOKUP($B113,Súpravy!$A$6:$Q$31,3,FALSE),0)</f>
        <v>0</v>
      </c>
      <c r="H113" s="17">
        <f t="shared" si="11"/>
        <v>0</v>
      </c>
      <c r="I113" s="12">
        <f>IFERROR(VLOOKUP($B113,Súpravy!$A$6:$Q$31,9,FALSE),0)</f>
        <v>0</v>
      </c>
      <c r="J113" s="12">
        <f>IFERROR(VLOOKUP($B113,Súpravy!$A$6:$Q$31,12,FALSE),0)</f>
        <v>0</v>
      </c>
      <c r="K113" s="12">
        <f>IFERROR(VLOOKUP($B113,Súpravy!$A$6:$Q$31,17,FALSE),0)</f>
        <v>0</v>
      </c>
      <c r="L113" s="12">
        <f>IFERROR(VLOOKUP($B113,Súpravy!$A$6:$Q$31,18,FALSE),0)</f>
        <v>0</v>
      </c>
      <c r="M113" s="17">
        <f t="shared" si="13"/>
        <v>0</v>
      </c>
      <c r="N113" s="93">
        <f>IF(OR(C113=53.328,M113&lt;=80%),0,D113*(Ocenenie!$E$56*(M113)*(M113)*(M113)+Ocenenie!$E$57*(M113)*(M113)+Ocenenie!$E$58*(M113)-Ocenenie!$E$60))</f>
        <v>0</v>
      </c>
    </row>
  </sheetData>
  <sheetProtection password="D97B" sheet="1" objects="1" scenarios="1"/>
  <mergeCells count="14">
    <mergeCell ref="M2:N2"/>
    <mergeCell ref="M12:N12"/>
    <mergeCell ref="E12:F12"/>
    <mergeCell ref="G2:H2"/>
    <mergeCell ref="A12:A14"/>
    <mergeCell ref="C12:C13"/>
    <mergeCell ref="D12:D13"/>
    <mergeCell ref="B13:B14"/>
    <mergeCell ref="G12:H12"/>
    <mergeCell ref="C2:D2"/>
    <mergeCell ref="C3:D3"/>
    <mergeCell ref="C4:C6"/>
    <mergeCell ref="C7:C9"/>
    <mergeCell ref="E2:F2"/>
  </mergeCells>
  <conditionalFormatting sqref="H15:H63 H65:H113">
    <cfRule type="cellIs" dxfId="51" priority="22" operator="lessThan">
      <formula>0.6</formula>
    </cfRule>
    <cfRule type="cellIs" dxfId="50" priority="23" operator="greaterThanOrEqual">
      <formula>0.6</formula>
    </cfRule>
  </conditionalFormatting>
  <conditionalFormatting sqref="M65:M113">
    <cfRule type="colorScale" priority="18">
      <colorScale>
        <cfvo type="num" val="0"/>
        <cfvo type="num" val="1"/>
        <cfvo type="num" val="1.7"/>
        <color rgb="FFC6EFCE"/>
        <color rgb="FFFFFFCC"/>
        <color rgb="FFFFC7CE"/>
      </colorScale>
    </cfRule>
  </conditionalFormatting>
  <conditionalFormatting sqref="M15:M63">
    <cfRule type="colorScale" priority="19">
      <colorScale>
        <cfvo type="num" val="0"/>
        <cfvo type="num" val="1"/>
        <cfvo type="num" val="1.7"/>
        <color rgb="FFC6EFCE"/>
        <color rgb="FFFFFFCC"/>
        <color rgb="FFFFC7CE"/>
      </colorScale>
    </cfRule>
  </conditionalFormatting>
  <conditionalFormatting sqref="N15:N63 N65:N113">
    <cfRule type="colorScale" priority="15">
      <colorScale>
        <cfvo type="num" val="0"/>
        <cfvo type="num" val="3"/>
        <cfvo type="num" val="225"/>
        <color rgb="FFC6EFCE"/>
        <color rgb="FFFFEB84"/>
        <color rgb="FFFFC7CE"/>
      </colorScale>
    </cfRule>
  </conditionalFormatting>
  <conditionalFormatting sqref="F15:F63">
    <cfRule type="cellIs" dxfId="49" priority="12" operator="lessThan">
      <formula>0.95</formula>
    </cfRule>
    <cfRule type="cellIs" dxfId="48" priority="13" operator="greaterThanOrEqual">
      <formula>1</formula>
    </cfRule>
    <cfRule type="cellIs" dxfId="47" priority="14" operator="between">
      <formula>0.95</formula>
      <formula>1</formula>
    </cfRule>
  </conditionalFormatting>
  <conditionalFormatting sqref="F65:F113">
    <cfRule type="cellIs" dxfId="46" priority="9" operator="lessThan">
      <formula>0.95</formula>
    </cfRule>
    <cfRule type="cellIs" dxfId="45" priority="10" operator="greaterThanOrEqual">
      <formula>1</formula>
    </cfRule>
    <cfRule type="cellIs" dxfId="44" priority="11" operator="between">
      <formula>0.95</formula>
      <formula>1</formula>
    </cfRule>
  </conditionalFormatting>
  <conditionalFormatting sqref="E6">
    <cfRule type="containsText" dxfId="43" priority="7" stopIfTrue="1" operator="containsText" text="49/">
      <formula>NOT(ISERROR(SEARCH("49/",E6)))</formula>
    </cfRule>
    <cfRule type="containsText" dxfId="42" priority="8" operator="containsText" text="/49">
      <formula>NOT(ISERROR(SEARCH("/49",E6)))</formula>
    </cfRule>
  </conditionalFormatting>
  <conditionalFormatting sqref="E9:E10">
    <cfRule type="containsText" dxfId="41" priority="5" stopIfTrue="1" operator="containsText" text="49/">
      <formula>NOT(ISERROR(SEARCH("49/",E9)))</formula>
    </cfRule>
    <cfRule type="containsText" dxfId="40" priority="6" operator="containsText" text="/49">
      <formula>NOT(ISERROR(SEARCH("/49",E9)))</formula>
    </cfRule>
  </conditionalFormatting>
  <conditionalFormatting sqref="G6">
    <cfRule type="containsText" dxfId="39" priority="3" stopIfTrue="1" operator="containsText" text="49/">
      <formula>NOT(ISERROR(SEARCH("49/",G6)))</formula>
    </cfRule>
    <cfRule type="containsText" dxfId="38" priority="4" operator="containsText" text="/49">
      <formula>NOT(ISERROR(SEARCH("/49",G6)))</formula>
    </cfRule>
  </conditionalFormatting>
  <conditionalFormatting sqref="G9:G10">
    <cfRule type="containsText" dxfId="37" priority="1" stopIfTrue="1" operator="containsText" text="49/">
      <formula>NOT(ISERROR(SEARCH("49/",G9)))</formula>
    </cfRule>
    <cfRule type="containsText" dxfId="36" priority="2" operator="containsText" text="/49">
      <formula>NOT(ISERROR(SEARCH("/49",G9)))</formula>
    </cfRule>
  </conditionalFormatting>
  <pageMargins left="0.23622047244094491" right="0.23622047244094491" top="0.74803149606299213" bottom="0.74803149606299213" header="0.31496062992125984" footer="0.31496062992125984"/>
  <pageSetup paperSize="8" fitToHeight="0" orientation="portrait" r:id="rId1"/>
  <rowBreaks count="1" manualBreakCount="1">
    <brk id="63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69"/>
  <sheetViews>
    <sheetView view="pageLayout" zoomScaleNormal="100" zoomScaleSheetLayoutView="100" workbookViewId="0">
      <selection activeCell="B15" sqref="B15"/>
    </sheetView>
  </sheetViews>
  <sheetFormatPr defaultColWidth="8.5703125" defaultRowHeight="15" x14ac:dyDescent="0.25"/>
  <cols>
    <col min="1" max="3" width="10.28515625" customWidth="1"/>
    <col min="4" max="10" width="13.28515625" customWidth="1"/>
    <col min="11" max="11" width="14.7109375" customWidth="1"/>
    <col min="12" max="12" width="14.140625" hidden="1" customWidth="1"/>
    <col min="13" max="14" width="12.5703125" hidden="1" customWidth="1"/>
    <col min="15" max="15" width="1.7109375" customWidth="1"/>
  </cols>
  <sheetData>
    <row r="1" spans="1:14" ht="24.75" customHeight="1" x14ac:dyDescent="0.3">
      <c r="A1" s="127" t="s">
        <v>377</v>
      </c>
      <c r="D1" s="209">
        <f>Spoločnosť!$C$10</f>
        <v>0</v>
      </c>
      <c r="I1" s="24" t="s">
        <v>433</v>
      </c>
      <c r="J1" s="24" t="s">
        <v>474</v>
      </c>
    </row>
    <row r="2" spans="1:14" s="13" customFormat="1" ht="18.75" customHeight="1" x14ac:dyDescent="0.25">
      <c r="C2" s="248" t="s">
        <v>133</v>
      </c>
      <c r="D2" s="248"/>
      <c r="E2" s="252" t="s">
        <v>134</v>
      </c>
      <c r="F2" s="253"/>
      <c r="G2" s="252" t="s">
        <v>342</v>
      </c>
      <c r="H2" s="253"/>
      <c r="I2" s="181" t="s">
        <v>6</v>
      </c>
      <c r="J2" s="181" t="s">
        <v>10</v>
      </c>
      <c r="K2" s="181" t="s">
        <v>14</v>
      </c>
      <c r="L2" s="182" t="s">
        <v>12</v>
      </c>
      <c r="M2" s="244" t="s">
        <v>248</v>
      </c>
      <c r="N2" s="245"/>
    </row>
    <row r="3" spans="1:14" ht="15" customHeight="1" x14ac:dyDescent="0.25">
      <c r="C3" s="249" t="s">
        <v>428</v>
      </c>
      <c r="D3" s="249"/>
      <c r="E3" s="185" t="s">
        <v>429</v>
      </c>
      <c r="F3" s="184">
        <f>'Vyhodnotenie II+III'!D15</f>
        <v>0.95</v>
      </c>
      <c r="G3" s="185" t="s">
        <v>429</v>
      </c>
      <c r="H3" s="198">
        <f>'Vyhodnotenie II+III'!E15</f>
        <v>0.6</v>
      </c>
      <c r="I3" s="198">
        <f>'Vyhodnotenie II+III'!F15</f>
        <v>0.3</v>
      </c>
      <c r="J3" s="198">
        <f>'Vyhodnotenie II+III'!G15</f>
        <v>0.3</v>
      </c>
      <c r="K3" s="198">
        <f>'Vyhodnotenie II+III'!H15</f>
        <v>0</v>
      </c>
      <c r="L3" s="163"/>
      <c r="M3" s="162"/>
      <c r="N3" s="165"/>
    </row>
    <row r="4" spans="1:14" x14ac:dyDescent="0.25">
      <c r="A4" s="13" t="s">
        <v>135</v>
      </c>
      <c r="C4" s="250" t="s">
        <v>426</v>
      </c>
      <c r="D4" s="178" t="s">
        <v>142</v>
      </c>
      <c r="E4" s="178"/>
      <c r="F4" s="31">
        <f>SUM(F15:F41)/ROWS(F15:F41)</f>
        <v>0</v>
      </c>
      <c r="G4" s="1"/>
      <c r="H4" s="31">
        <f t="shared" ref="H4:K4" si="0">SUM(H15:H41)/ROWS(H15:H41)</f>
        <v>0</v>
      </c>
      <c r="I4" s="31">
        <f t="shared" si="0"/>
        <v>0</v>
      </c>
      <c r="J4" s="31">
        <f t="shared" si="0"/>
        <v>0</v>
      </c>
      <c r="K4" s="31">
        <f t="shared" si="0"/>
        <v>0</v>
      </c>
      <c r="L4" s="31">
        <f t="shared" ref="L4:M4" si="1">SUM(L15:L41)/ROWS(L15:L41)</f>
        <v>0</v>
      </c>
      <c r="M4" s="31">
        <f t="shared" si="1"/>
        <v>0</v>
      </c>
      <c r="N4" s="94">
        <f>SUM(N15:N41)</f>
        <v>0</v>
      </c>
    </row>
    <row r="5" spans="1:14" s="32" customFormat="1" x14ac:dyDescent="0.25">
      <c r="C5" s="250"/>
      <c r="D5" s="2" t="s">
        <v>427</v>
      </c>
      <c r="E5" s="2"/>
      <c r="F5" s="33">
        <f>SUMPRODUCT(F15:F41,D15:D41)/SUM(D15:D41)</f>
        <v>0</v>
      </c>
      <c r="G5" s="164"/>
      <c r="H5" s="33">
        <f>SUMPRODUCT(H15:H41,D15:D41)/SUM(D15:D41)</f>
        <v>0</v>
      </c>
      <c r="I5" s="33">
        <f>SUMPRODUCT(I15:I41,D15:D41)/SUM(D15:D41)</f>
        <v>0</v>
      </c>
      <c r="J5" s="33">
        <f>SUMPRODUCT(J15:J41,D15:D41)/SUM(D15:D41)</f>
        <v>0</v>
      </c>
      <c r="K5" s="33">
        <f>SUMPRODUCT(K15:K41,D15:D41)/SUM(D15:D41)</f>
        <v>0</v>
      </c>
      <c r="L5" s="33">
        <f>SUMPRODUCT(L15:L41,D15:D41)/SUM(D15:D41)</f>
        <v>0</v>
      </c>
      <c r="M5" s="33">
        <f>SUMPRODUCT(M15:M41,D15:D41)/SUM(D15:D41)</f>
        <v>0</v>
      </c>
      <c r="N5" s="94">
        <f>SUM(N15:N41)</f>
        <v>0</v>
      </c>
    </row>
    <row r="6" spans="1:14" x14ac:dyDescent="0.25">
      <c r="C6" s="251"/>
      <c r="D6" s="1" t="s">
        <v>480</v>
      </c>
      <c r="E6" s="183" t="str">
        <f>COUNTIF(F15:F41,"&gt;=95%")&amp;"/"&amp;ROWS(F15:F41)&amp;" vlakov"</f>
        <v>0/27 vlakov</v>
      </c>
      <c r="F6" s="31">
        <f>SUMPRODUCT(F15:F41,D15:D41,C15:C41)/SUMPRODUCT(D15:D41,C15:C41)</f>
        <v>0</v>
      </c>
      <c r="G6" s="183" t="str">
        <f>COUNTIF(H15:H41,"&gt;=60%")&amp;"/"&amp;ROWS(H15:H41)&amp;" vlakov"</f>
        <v>0/27 vlakov</v>
      </c>
      <c r="H6" s="31">
        <f>SUMPRODUCT(H15:H41,D15:D41,C15:C41)/SUMPRODUCT(D15:D41,C15:C41)</f>
        <v>0</v>
      </c>
      <c r="I6" s="31">
        <f>SUMPRODUCT(I15:I41,D15:D41,C15:C41)/SUMPRODUCT(D15:D41,C15:C41)</f>
        <v>0</v>
      </c>
      <c r="J6" s="31">
        <f>SUMPRODUCT(J15:J41,D15:D41,C15:C41)/SUMPRODUCT(D15:D41,C15:C41)</f>
        <v>0</v>
      </c>
      <c r="K6" s="31">
        <f>SUMPRODUCT(K15:K41,D15:D41,C15:C41)/SUMPRODUCT(D15:D41,C15:C41)</f>
        <v>0</v>
      </c>
      <c r="L6" s="31">
        <f>SUMPRODUCT(L15:L41,D15:D41,C15:C41)/SUMPRODUCT(D15:D41,C15:C41)</f>
        <v>0</v>
      </c>
      <c r="M6" s="31">
        <f>SUMPRODUCT(M15:M41,D15:D41,C15:C41)/SUMPRODUCT(D15:D41,C15:C41)</f>
        <v>0</v>
      </c>
      <c r="N6" s="94">
        <f>SUM(N15:N41)</f>
        <v>0</v>
      </c>
    </row>
    <row r="7" spans="1:14" x14ac:dyDescent="0.25">
      <c r="A7" s="180" t="s">
        <v>136</v>
      </c>
      <c r="C7" s="250" t="s">
        <v>426</v>
      </c>
      <c r="D7" s="178" t="s">
        <v>142</v>
      </c>
      <c r="E7" s="178"/>
      <c r="F7" s="31">
        <f>SUM(F43:F69)/ROWS(F43:F69)</f>
        <v>0</v>
      </c>
      <c r="G7" s="1"/>
      <c r="H7" s="31">
        <f t="shared" ref="H7:K7" si="2">SUM(H43:H69)/ROWS(H43:H69)</f>
        <v>0</v>
      </c>
      <c r="I7" s="31">
        <f t="shared" si="2"/>
        <v>0</v>
      </c>
      <c r="J7" s="31">
        <f t="shared" si="2"/>
        <v>0</v>
      </c>
      <c r="K7" s="31">
        <f t="shared" si="2"/>
        <v>0</v>
      </c>
      <c r="L7" s="31">
        <f t="shared" ref="L7:M7" si="3">SUM(L43:L69)/ROWS(L43:L69)</f>
        <v>0</v>
      </c>
      <c r="M7" s="31">
        <f t="shared" si="3"/>
        <v>0</v>
      </c>
      <c r="N7" s="94">
        <f>SUM(N65:N113)</f>
        <v>0</v>
      </c>
    </row>
    <row r="8" spans="1:14" s="32" customFormat="1" x14ac:dyDescent="0.25">
      <c r="C8" s="250"/>
      <c r="D8" s="2" t="s">
        <v>427</v>
      </c>
      <c r="E8" s="2"/>
      <c r="F8" s="33">
        <f>SUMPRODUCT(F43:F69,D43:D69)/SUM(D43:D69)</f>
        <v>0</v>
      </c>
      <c r="G8" s="164"/>
      <c r="H8" s="33">
        <f>SUMPRODUCT(H43:H69,D43:D69)/SUM(D43:D69)</f>
        <v>0</v>
      </c>
      <c r="I8" s="33">
        <f>SUMPRODUCT(I43:I69,D43:D69)/SUM(D43:D69)</f>
        <v>0</v>
      </c>
      <c r="J8" s="33">
        <f>SUMPRODUCT(J43:J69,D43:D69)/SUM(D43:D69)</f>
        <v>0</v>
      </c>
      <c r="K8" s="33">
        <f>SUMPRODUCT(K43:K69,D43:D69)/SUM(D43:D69)</f>
        <v>0</v>
      </c>
      <c r="L8" s="33">
        <f>SUMPRODUCT(L43:L69,D43:D69)/SUM(D43:D69)</f>
        <v>0</v>
      </c>
      <c r="M8" s="33">
        <f>SUMPRODUCT(M43:M69,D43:D69)/SUM(D43:D69)</f>
        <v>0</v>
      </c>
      <c r="N8" s="94">
        <f>SUM(N65:N113)</f>
        <v>0</v>
      </c>
    </row>
    <row r="9" spans="1:14" x14ac:dyDescent="0.25">
      <c r="C9" s="251"/>
      <c r="D9" s="1" t="s">
        <v>480</v>
      </c>
      <c r="E9" s="183" t="str">
        <f>COUNTIF(F43:F69,"&gt;=95%")&amp;"/"&amp;ROWS(F43:F69)&amp;" vlakov"</f>
        <v>0/27 vlakov</v>
      </c>
      <c r="F9" s="31">
        <f>SUMPRODUCT(F43:F69,D43:D69,C43:C69)/SUMPRODUCT(D43:D69,C43:C69)</f>
        <v>0</v>
      </c>
      <c r="G9" s="183" t="str">
        <f>COUNTIF(H43:H69,"&gt;=60%")&amp;"/"&amp;ROWS(H43:H69)&amp;" vlakov"</f>
        <v>0/27 vlakov</v>
      </c>
      <c r="H9" s="31">
        <f>SUMPRODUCT(H43:H69,D43:D69,C43:C69)/SUMPRODUCT(D43:D69,C43:C69)</f>
        <v>0</v>
      </c>
      <c r="I9" s="31">
        <f>SUMPRODUCT(I43:I69,D43:D69,C43:C69)/SUMPRODUCT(D43:D69,C43:C69)</f>
        <v>0</v>
      </c>
      <c r="J9" s="31">
        <f>SUMPRODUCT(J43:J69,D43:D69,C43:C69)/SUMPRODUCT(D43:D69,C43:C69)</f>
        <v>0</v>
      </c>
      <c r="K9" s="31">
        <f>SUMPRODUCT(K43:K69,D43:D69,C43:C69)/SUMPRODUCT(D43:D69,C43:C69)</f>
        <v>0</v>
      </c>
      <c r="L9" s="31">
        <f>SUMPRODUCT(L43:L69,D43:D69,C43:C69)/SUMPRODUCT(D43:D69,C43:C69)</f>
        <v>0</v>
      </c>
      <c r="M9" s="31">
        <f>SUMPRODUCT(M43:M69,D43:D69,C43:C69)/SUMPRODUCT(D43:D69,C43:C69)</f>
        <v>0</v>
      </c>
      <c r="N9" s="94">
        <f>SUM(N65:N113)</f>
        <v>0</v>
      </c>
    </row>
    <row r="10" spans="1:14" ht="22.5" customHeight="1" x14ac:dyDescent="0.25">
      <c r="A10" s="179" t="s">
        <v>431</v>
      </c>
      <c r="B10" t="s">
        <v>434</v>
      </c>
      <c r="C10" s="186"/>
      <c r="D10" s="30"/>
      <c r="E10" s="187"/>
      <c r="F10" s="188"/>
      <c r="G10" s="187"/>
      <c r="H10" s="188"/>
      <c r="I10" s="188"/>
      <c r="J10" s="188"/>
      <c r="K10" s="188"/>
      <c r="L10" s="188"/>
      <c r="M10" s="188"/>
      <c r="N10" s="189"/>
    </row>
    <row r="11" spans="1:14" ht="18" customHeight="1" x14ac:dyDescent="0.25">
      <c r="A11" s="13" t="s">
        <v>135</v>
      </c>
    </row>
    <row r="12" spans="1:14" ht="15" customHeight="1" x14ac:dyDescent="0.25">
      <c r="A12" s="233" t="s">
        <v>15</v>
      </c>
      <c r="B12" s="1" t="s">
        <v>16</v>
      </c>
      <c r="C12" s="246" t="s">
        <v>23</v>
      </c>
      <c r="D12" s="226" t="s">
        <v>348</v>
      </c>
      <c r="E12" s="231" t="s">
        <v>17</v>
      </c>
      <c r="F12" s="236"/>
      <c r="G12" s="233" t="s">
        <v>342</v>
      </c>
      <c r="H12" s="233"/>
      <c r="I12" s="7" t="s">
        <v>6</v>
      </c>
      <c r="J12" s="7" t="s">
        <v>10</v>
      </c>
      <c r="K12" s="3" t="s">
        <v>14</v>
      </c>
      <c r="L12" s="3" t="s">
        <v>12</v>
      </c>
      <c r="M12" s="231" t="s">
        <v>248</v>
      </c>
      <c r="N12" s="232"/>
    </row>
    <row r="13" spans="1:14" ht="15" customHeight="1" x14ac:dyDescent="0.25">
      <c r="A13" s="233"/>
      <c r="B13" s="226" t="s">
        <v>0</v>
      </c>
      <c r="C13" s="247"/>
      <c r="D13" s="226"/>
      <c r="E13" s="3" t="s">
        <v>8</v>
      </c>
      <c r="F13" s="3" t="s">
        <v>152</v>
      </c>
      <c r="G13" s="101" t="s">
        <v>344</v>
      </c>
      <c r="H13" s="101" t="s">
        <v>19</v>
      </c>
      <c r="I13" s="5" t="s">
        <v>345</v>
      </c>
      <c r="J13" s="5" t="s">
        <v>21</v>
      </c>
      <c r="K13" s="5" t="s">
        <v>156</v>
      </c>
      <c r="L13" s="5" t="s">
        <v>261</v>
      </c>
      <c r="M13" s="3" t="s">
        <v>257</v>
      </c>
      <c r="N13" s="3" t="s">
        <v>316</v>
      </c>
    </row>
    <row r="14" spans="1:14" x14ac:dyDescent="0.25">
      <c r="A14" s="233"/>
      <c r="B14" s="226"/>
      <c r="C14" s="6" t="s">
        <v>22</v>
      </c>
      <c r="D14" s="3" t="s">
        <v>155</v>
      </c>
      <c r="E14" s="3" t="s">
        <v>20</v>
      </c>
      <c r="F14" s="5" t="s">
        <v>151</v>
      </c>
      <c r="G14" s="101" t="s">
        <v>343</v>
      </c>
      <c r="H14" s="101" t="s">
        <v>18</v>
      </c>
      <c r="I14" s="5" t="s">
        <v>346</v>
      </c>
      <c r="J14" s="5" t="s">
        <v>347</v>
      </c>
      <c r="K14" s="11" t="s">
        <v>132</v>
      </c>
      <c r="L14" s="11" t="s">
        <v>279</v>
      </c>
      <c r="M14" s="3" t="s">
        <v>256</v>
      </c>
      <c r="N14" s="3" t="s">
        <v>317</v>
      </c>
    </row>
    <row r="15" spans="1:14" x14ac:dyDescent="0.25">
      <c r="A15" s="1" t="str">
        <f>Grafikon!$M4</f>
        <v>Os 4373</v>
      </c>
      <c r="B15" s="199"/>
      <c r="C15" s="2">
        <f>Grafikon!$O4</f>
        <v>53.328000000000003</v>
      </c>
      <c r="D15" s="3">
        <f>Grafikon!$R4</f>
        <v>100</v>
      </c>
      <c r="E15" s="10">
        <f>IFERROR(VLOOKUP($B15,Súpravy!$A$6:$Q$31,6,FALSE),0)</f>
        <v>0</v>
      </c>
      <c r="F15" s="31">
        <f t="shared" ref="F15:F41" si="4">MIN(E15/D15,1)</f>
        <v>0</v>
      </c>
      <c r="G15" s="10">
        <f>IFERROR(VLOOKUP($B15,Súpravy!$A$6:$Q$31,3,FALSE),0)</f>
        <v>0</v>
      </c>
      <c r="H15" s="17">
        <f>IFERROR(MIN(G15/D15,1),0)</f>
        <v>0</v>
      </c>
      <c r="I15" s="12">
        <f>IFERROR(VLOOKUP($B15,Súpravy!$A$6:$Q$31,9,FALSE),0)</f>
        <v>0</v>
      </c>
      <c r="J15" s="12">
        <f>IFERROR(VLOOKUP($B15,Súpravy!$A$6:$Q$31,12,FALSE),0)</f>
        <v>0</v>
      </c>
      <c r="K15" s="12">
        <f>IFERROR(VLOOKUP($B15,Súpravy!$A$6:$Q$31,17,FALSE),0)</f>
        <v>0</v>
      </c>
      <c r="L15" s="12">
        <f>IFERROR(VLOOKUP($B15,Súpravy!$A$6:$Q$31,18,FALSE),0)</f>
        <v>0</v>
      </c>
      <c r="M15" s="17">
        <f t="shared" ref="M15:M41" si="5">IFERROR(D15/G15,0)</f>
        <v>0</v>
      </c>
      <c r="N15" s="93">
        <f>IF(OR(C15=53.328,M15&lt;=80%),0,D15*(Ocenenie!$E$56*(M15)*(M15)*(M15)+Ocenenie!$E$57*(M15)*(M15)+Ocenenie!$E$58*(M15)-Ocenenie!$E$60))</f>
        <v>0</v>
      </c>
    </row>
    <row r="16" spans="1:14" x14ac:dyDescent="0.25">
      <c r="A16" s="1" t="str">
        <f>Grafikon!$M5</f>
        <v>Os 4391</v>
      </c>
      <c r="B16" s="199"/>
      <c r="C16" s="2">
        <f>Grafikon!$O5</f>
        <v>46.847000000000001</v>
      </c>
      <c r="D16" s="3">
        <f>Grafikon!$R5</f>
        <v>100</v>
      </c>
      <c r="E16" s="10">
        <f>IFERROR(VLOOKUP($B16,Súpravy!$A$6:$Q$31,6,FALSE),0)</f>
        <v>0</v>
      </c>
      <c r="F16" s="31">
        <f t="shared" si="4"/>
        <v>0</v>
      </c>
      <c r="G16" s="10">
        <f>IFERROR(VLOOKUP($B16,Súpravy!$A$6:$Q$31,3,FALSE),0)</f>
        <v>0</v>
      </c>
      <c r="H16" s="17">
        <f t="shared" ref="H16:H69" si="6">IFERROR(MIN(G16/D16,1),0)</f>
        <v>0</v>
      </c>
      <c r="I16" s="12">
        <f>IFERROR(VLOOKUP($B16,Súpravy!$A$6:$Q$31,9,FALSE),0)</f>
        <v>0</v>
      </c>
      <c r="J16" s="12">
        <f>IFERROR(VLOOKUP($B16,Súpravy!$A$6:$Q$31,12,FALSE),0)</f>
        <v>0</v>
      </c>
      <c r="K16" s="12">
        <f>IFERROR(VLOOKUP($B16,Súpravy!$A$6:$Q$31,17,FALSE),0)</f>
        <v>0</v>
      </c>
      <c r="L16" s="12">
        <f>IFERROR(VLOOKUP($B16,Súpravy!$A$6:$Q$31,18,FALSE),0)</f>
        <v>0</v>
      </c>
      <c r="M16" s="17">
        <f t="shared" si="5"/>
        <v>0</v>
      </c>
      <c r="N16" s="93">
        <f>IF(OR(C16=53.328,M16&lt;=80%),0,D16*(Ocenenie!$E$56*(M16)*(M16)*(M16)+Ocenenie!$E$57*(M16)*(M16)+Ocenenie!$E$58*(M16)-Ocenenie!$E$60))</f>
        <v>0</v>
      </c>
    </row>
    <row r="17" spans="1:14" x14ac:dyDescent="0.25">
      <c r="A17" s="1" t="str">
        <f>Grafikon!$M6</f>
        <v>Zr 1761</v>
      </c>
      <c r="B17" s="199"/>
      <c r="C17" s="2">
        <f>Grafikon!$O6</f>
        <v>100.175</v>
      </c>
      <c r="D17" s="3">
        <f>Grafikon!$R6</f>
        <v>100</v>
      </c>
      <c r="E17" s="10">
        <f>IFERROR(VLOOKUP($B17,Súpravy!$A$6:$Q$31,6,FALSE),0)</f>
        <v>0</v>
      </c>
      <c r="F17" s="31">
        <f t="shared" si="4"/>
        <v>0</v>
      </c>
      <c r="G17" s="10">
        <f>IFERROR(VLOOKUP($B17,Súpravy!$A$6:$Q$31,3,FALSE),0)</f>
        <v>0</v>
      </c>
      <c r="H17" s="17">
        <f t="shared" si="6"/>
        <v>0</v>
      </c>
      <c r="I17" s="12">
        <f>IFERROR(VLOOKUP($B17,Súpravy!$A$6:$Q$31,9,FALSE),0)</f>
        <v>0</v>
      </c>
      <c r="J17" s="12">
        <f>IFERROR(VLOOKUP($B17,Súpravy!$A$6:$Q$31,12,FALSE),0)</f>
        <v>0</v>
      </c>
      <c r="K17" s="12">
        <f>IFERROR(VLOOKUP($B17,Súpravy!$A$6:$Q$31,17,FALSE),0)</f>
        <v>0</v>
      </c>
      <c r="L17" s="12">
        <f>IFERROR(VLOOKUP($B17,Súpravy!$A$6:$Q$31,18,FALSE),0)</f>
        <v>0</v>
      </c>
      <c r="M17" s="17">
        <f t="shared" si="5"/>
        <v>0</v>
      </c>
      <c r="N17" s="93">
        <f>IF(OR(C17=53.328,M17&lt;=80%),0,D17*(Ocenenie!$E$56*(M17)*(M17)*(M17)+Ocenenie!$E$57*(M17)*(M17)+Ocenenie!$E$58*(M17)-Ocenenie!$E$60))</f>
        <v>0</v>
      </c>
    </row>
    <row r="18" spans="1:14" x14ac:dyDescent="0.25">
      <c r="A18" s="1" t="str">
        <f>Grafikon!$M7</f>
        <v>Os 4303</v>
      </c>
      <c r="B18" s="199"/>
      <c r="C18" s="2">
        <f>Grafikon!$O7</f>
        <v>46.847000000000001</v>
      </c>
      <c r="D18" s="3">
        <f>Grafikon!$R7</f>
        <v>100</v>
      </c>
      <c r="E18" s="10">
        <f>IFERROR(VLOOKUP($B18,Súpravy!$A$6:$Q$31,6,FALSE),0)</f>
        <v>0</v>
      </c>
      <c r="F18" s="31">
        <f t="shared" si="4"/>
        <v>0</v>
      </c>
      <c r="G18" s="10">
        <f>IFERROR(VLOOKUP($B18,Súpravy!$A$6:$Q$31,3,FALSE),0)</f>
        <v>0</v>
      </c>
      <c r="H18" s="17">
        <f t="shared" si="6"/>
        <v>0</v>
      </c>
      <c r="I18" s="12">
        <f>IFERROR(VLOOKUP($B18,Súpravy!$A$6:$Q$31,9,FALSE),0)</f>
        <v>0</v>
      </c>
      <c r="J18" s="12">
        <f>IFERROR(VLOOKUP($B18,Súpravy!$A$6:$Q$31,12,FALSE),0)</f>
        <v>0</v>
      </c>
      <c r="K18" s="12">
        <f>IFERROR(VLOOKUP($B18,Súpravy!$A$6:$Q$31,17,FALSE),0)</f>
        <v>0</v>
      </c>
      <c r="L18" s="12">
        <f>IFERROR(VLOOKUP($B18,Súpravy!$A$6:$Q$31,18,FALSE),0)</f>
        <v>0</v>
      </c>
      <c r="M18" s="17">
        <f t="shared" si="5"/>
        <v>0</v>
      </c>
      <c r="N18" s="93">
        <f>IF(OR(C18=53.328,M18&lt;=80%),0,D18*(Ocenenie!$E$56*(M18)*(M18)*(M18)+Ocenenie!$E$57*(M18)*(M18)+Ocenenie!$E$58*(M18)-Ocenenie!$E$60))</f>
        <v>0</v>
      </c>
    </row>
    <row r="19" spans="1:14" x14ac:dyDescent="0.25">
      <c r="A19" s="1" t="str">
        <f>Grafikon!$M8</f>
        <v>Os 4305</v>
      </c>
      <c r="B19" s="199"/>
      <c r="C19" s="2">
        <f>Grafikon!$O8</f>
        <v>46.847000000000001</v>
      </c>
      <c r="D19" s="3">
        <f>Grafikon!$R8</f>
        <v>100</v>
      </c>
      <c r="E19" s="10">
        <f>IFERROR(VLOOKUP($B19,Súpravy!$A$6:$Q$31,6,FALSE),0)</f>
        <v>0</v>
      </c>
      <c r="F19" s="31">
        <f t="shared" si="4"/>
        <v>0</v>
      </c>
      <c r="G19" s="10">
        <f>IFERROR(VLOOKUP($B19,Súpravy!$A$6:$Q$31,3,FALSE),0)</f>
        <v>0</v>
      </c>
      <c r="H19" s="17">
        <f t="shared" si="6"/>
        <v>0</v>
      </c>
      <c r="I19" s="12">
        <f>IFERROR(VLOOKUP($B19,Súpravy!$A$6:$Q$31,9,FALSE),0)</f>
        <v>0</v>
      </c>
      <c r="J19" s="12">
        <f>IFERROR(VLOOKUP($B19,Súpravy!$A$6:$Q$31,12,FALSE),0)</f>
        <v>0</v>
      </c>
      <c r="K19" s="12">
        <f>IFERROR(VLOOKUP($B19,Súpravy!$A$6:$Q$31,17,FALSE),0)</f>
        <v>0</v>
      </c>
      <c r="L19" s="12">
        <f>IFERROR(VLOOKUP($B19,Súpravy!$A$6:$Q$31,18,FALSE),0)</f>
        <v>0</v>
      </c>
      <c r="M19" s="17">
        <f t="shared" si="5"/>
        <v>0</v>
      </c>
      <c r="N19" s="93">
        <f>IF(OR(C19=53.328,M19&lt;=80%),0,D19*(Ocenenie!$E$56*(M19)*(M19)*(M19)+Ocenenie!$E$57*(M19)*(M19)+Ocenenie!$E$58*(M19)-Ocenenie!$E$60))</f>
        <v>0</v>
      </c>
    </row>
    <row r="20" spans="1:14" x14ac:dyDescent="0.25">
      <c r="A20" s="1" t="str">
        <f>Grafikon!$M9</f>
        <v>Zr 1765</v>
      </c>
      <c r="B20" s="199"/>
      <c r="C20" s="2">
        <f>Grafikon!$O9</f>
        <v>100.175</v>
      </c>
      <c r="D20" s="3">
        <f>Grafikon!$R9</f>
        <v>100</v>
      </c>
      <c r="E20" s="10">
        <f>IFERROR(VLOOKUP($B20,Súpravy!$A$6:$Q$31,6,FALSE),0)</f>
        <v>0</v>
      </c>
      <c r="F20" s="31">
        <f t="shared" si="4"/>
        <v>0</v>
      </c>
      <c r="G20" s="10">
        <f>IFERROR(VLOOKUP($B20,Súpravy!$A$6:$Q$31,3,FALSE),0)</f>
        <v>0</v>
      </c>
      <c r="H20" s="17">
        <f t="shared" si="6"/>
        <v>0</v>
      </c>
      <c r="I20" s="12">
        <f>IFERROR(VLOOKUP($B20,Súpravy!$A$6:$Q$31,9,FALSE),0)</f>
        <v>0</v>
      </c>
      <c r="J20" s="12">
        <f>IFERROR(VLOOKUP($B20,Súpravy!$A$6:$Q$31,12,FALSE),0)</f>
        <v>0</v>
      </c>
      <c r="K20" s="12">
        <f>IFERROR(VLOOKUP($B20,Súpravy!$A$6:$Q$31,17,FALSE),0)</f>
        <v>0</v>
      </c>
      <c r="L20" s="12">
        <f>IFERROR(VLOOKUP($B20,Súpravy!$A$6:$Q$31,18,FALSE),0)</f>
        <v>0</v>
      </c>
      <c r="M20" s="17">
        <f t="shared" si="5"/>
        <v>0</v>
      </c>
      <c r="N20" s="93">
        <f>IF(OR(C20=53.328,M20&lt;=80%),0,D20*(Ocenenie!$E$56*(M20)*(M20)*(M20)+Ocenenie!$E$57*(M20)*(M20)+Ocenenie!$E$58*(M20)-Ocenenie!$E$60))</f>
        <v>0</v>
      </c>
    </row>
    <row r="21" spans="1:14" x14ac:dyDescent="0.25">
      <c r="A21" s="1" t="str">
        <f>Grafikon!$M10</f>
        <v>Os 4307</v>
      </c>
      <c r="B21" s="199"/>
      <c r="C21" s="2">
        <f>Grafikon!$O10</f>
        <v>46.847000000000001</v>
      </c>
      <c r="D21" s="3">
        <f>Grafikon!$R10</f>
        <v>100</v>
      </c>
      <c r="E21" s="10">
        <f>IFERROR(VLOOKUP($B21,Súpravy!$A$6:$Q$31,6,FALSE),0)</f>
        <v>0</v>
      </c>
      <c r="F21" s="31">
        <f t="shared" si="4"/>
        <v>0</v>
      </c>
      <c r="G21" s="10">
        <f>IFERROR(VLOOKUP($B21,Súpravy!$A$6:$Q$31,3,FALSE),0)</f>
        <v>0</v>
      </c>
      <c r="H21" s="17">
        <f t="shared" si="6"/>
        <v>0</v>
      </c>
      <c r="I21" s="12">
        <f>IFERROR(VLOOKUP($B21,Súpravy!$A$6:$Q$31,9,FALSE),0)</f>
        <v>0</v>
      </c>
      <c r="J21" s="12">
        <f>IFERROR(VLOOKUP($B21,Súpravy!$A$6:$Q$31,12,FALSE),0)</f>
        <v>0</v>
      </c>
      <c r="K21" s="12">
        <f>IFERROR(VLOOKUP($B21,Súpravy!$A$6:$Q$31,17,FALSE),0)</f>
        <v>0</v>
      </c>
      <c r="L21" s="12">
        <f>IFERROR(VLOOKUP($B21,Súpravy!$A$6:$Q$31,18,FALSE),0)</f>
        <v>0</v>
      </c>
      <c r="M21" s="17">
        <f t="shared" si="5"/>
        <v>0</v>
      </c>
      <c r="N21" s="93">
        <f>IF(OR(C21=53.328,M21&lt;=80%),0,D21*(Ocenenie!$E$56*(M21)*(M21)*(M21)+Ocenenie!$E$57*(M21)*(M21)+Ocenenie!$E$58*(M21)-Ocenenie!$E$60))</f>
        <v>0</v>
      </c>
    </row>
    <row r="22" spans="1:14" x14ac:dyDescent="0.25">
      <c r="A22" s="1" t="str">
        <f>Grafikon!$M11</f>
        <v>Os 4309</v>
      </c>
      <c r="B22" s="199"/>
      <c r="C22" s="2">
        <f>Grafikon!$O11</f>
        <v>46.847000000000001</v>
      </c>
      <c r="D22" s="3">
        <f>Grafikon!$R11</f>
        <v>100</v>
      </c>
      <c r="E22" s="10">
        <f>IFERROR(VLOOKUP($B22,Súpravy!$A$6:$Q$31,6,FALSE),0)</f>
        <v>0</v>
      </c>
      <c r="F22" s="31">
        <f t="shared" si="4"/>
        <v>0</v>
      </c>
      <c r="G22" s="10">
        <f>IFERROR(VLOOKUP($B22,Súpravy!$A$6:$Q$31,3,FALSE),0)</f>
        <v>0</v>
      </c>
      <c r="H22" s="17">
        <f t="shared" si="6"/>
        <v>0</v>
      </c>
      <c r="I22" s="12">
        <f>IFERROR(VLOOKUP($B22,Súpravy!$A$6:$Q$31,9,FALSE),0)</f>
        <v>0</v>
      </c>
      <c r="J22" s="12">
        <f>IFERROR(VLOOKUP($B22,Súpravy!$A$6:$Q$31,12,FALSE),0)</f>
        <v>0</v>
      </c>
      <c r="K22" s="12">
        <f>IFERROR(VLOOKUP($B22,Súpravy!$A$6:$Q$31,17,FALSE),0)</f>
        <v>0</v>
      </c>
      <c r="L22" s="12">
        <f>IFERROR(VLOOKUP($B22,Súpravy!$A$6:$Q$31,18,FALSE),0)</f>
        <v>0</v>
      </c>
      <c r="M22" s="17">
        <f t="shared" si="5"/>
        <v>0</v>
      </c>
      <c r="N22" s="93">
        <f>IF(OR(C22=53.328,M22&lt;=80%),0,D22*(Ocenenie!$E$56*(M22)*(M22)*(M22)+Ocenenie!$E$57*(M22)*(M22)+Ocenenie!$E$58*(M22)-Ocenenie!$E$60))</f>
        <v>0</v>
      </c>
    </row>
    <row r="23" spans="1:14" x14ac:dyDescent="0.25">
      <c r="A23" s="1" t="str">
        <f>Grafikon!$M12</f>
        <v>Zr 1769</v>
      </c>
      <c r="B23" s="199"/>
      <c r="C23" s="2">
        <f>Grafikon!$O12</f>
        <v>100.175</v>
      </c>
      <c r="D23" s="3">
        <f>Grafikon!$R12</f>
        <v>100</v>
      </c>
      <c r="E23" s="10">
        <f>IFERROR(VLOOKUP($B23,Súpravy!$A$6:$Q$31,6,FALSE),0)</f>
        <v>0</v>
      </c>
      <c r="F23" s="31">
        <f t="shared" si="4"/>
        <v>0</v>
      </c>
      <c r="G23" s="10">
        <f>IFERROR(VLOOKUP($B23,Súpravy!$A$6:$Q$31,3,FALSE),0)</f>
        <v>0</v>
      </c>
      <c r="H23" s="17">
        <f t="shared" si="6"/>
        <v>0</v>
      </c>
      <c r="I23" s="12">
        <f>IFERROR(VLOOKUP($B23,Súpravy!$A$6:$Q$31,9,FALSE),0)</f>
        <v>0</v>
      </c>
      <c r="J23" s="12">
        <f>IFERROR(VLOOKUP($B23,Súpravy!$A$6:$Q$31,12,FALSE),0)</f>
        <v>0</v>
      </c>
      <c r="K23" s="12">
        <f>IFERROR(VLOOKUP($B23,Súpravy!$A$6:$Q$31,17,FALSE),0)</f>
        <v>0</v>
      </c>
      <c r="L23" s="12">
        <f>IFERROR(VLOOKUP($B23,Súpravy!$A$6:$Q$31,18,FALSE),0)</f>
        <v>0</v>
      </c>
      <c r="M23" s="17">
        <f t="shared" si="5"/>
        <v>0</v>
      </c>
      <c r="N23" s="93">
        <f>IF(OR(C23=53.328,M23&lt;=80%),0,D23*(Ocenenie!$E$56*(M23)*(M23)*(M23)+Ocenenie!$E$57*(M23)*(M23)+Ocenenie!$E$58*(M23)-Ocenenie!$E$60))</f>
        <v>0</v>
      </c>
    </row>
    <row r="24" spans="1:14" x14ac:dyDescent="0.25">
      <c r="A24" s="1" t="str">
        <f>Grafikon!$M13</f>
        <v>Os 4311</v>
      </c>
      <c r="B24" s="199"/>
      <c r="C24" s="2">
        <f>Grafikon!$O13</f>
        <v>46.847000000000001</v>
      </c>
      <c r="D24" s="3">
        <f>Grafikon!$R13</f>
        <v>100</v>
      </c>
      <c r="E24" s="10">
        <f>IFERROR(VLOOKUP($B24,Súpravy!$A$6:$Q$31,6,FALSE),0)</f>
        <v>0</v>
      </c>
      <c r="F24" s="31">
        <f t="shared" si="4"/>
        <v>0</v>
      </c>
      <c r="G24" s="10">
        <f>IFERROR(VLOOKUP($B24,Súpravy!$A$6:$Q$31,3,FALSE),0)</f>
        <v>0</v>
      </c>
      <c r="H24" s="17">
        <f t="shared" si="6"/>
        <v>0</v>
      </c>
      <c r="I24" s="12">
        <f>IFERROR(VLOOKUP($B24,Súpravy!$A$6:$Q$31,9,FALSE),0)</f>
        <v>0</v>
      </c>
      <c r="J24" s="12">
        <f>IFERROR(VLOOKUP($B24,Súpravy!$A$6:$Q$31,12,FALSE),0)</f>
        <v>0</v>
      </c>
      <c r="K24" s="12">
        <f>IFERROR(VLOOKUP($B24,Súpravy!$A$6:$Q$31,17,FALSE),0)</f>
        <v>0</v>
      </c>
      <c r="L24" s="12">
        <f>IFERROR(VLOOKUP($B24,Súpravy!$A$6:$Q$31,18,FALSE),0)</f>
        <v>0</v>
      </c>
      <c r="M24" s="17">
        <f t="shared" si="5"/>
        <v>0</v>
      </c>
      <c r="N24" s="93">
        <f>IF(OR(C24=53.328,M24&lt;=80%),0,D24*(Ocenenie!$E$56*(M24)*(M24)*(M24)+Ocenenie!$E$57*(M24)*(M24)+Ocenenie!$E$58*(M24)-Ocenenie!$E$60))</f>
        <v>0</v>
      </c>
    </row>
    <row r="25" spans="1:14" x14ac:dyDescent="0.25">
      <c r="A25" s="1" t="str">
        <f>Grafikon!$M14</f>
        <v>Os 4313</v>
      </c>
      <c r="B25" s="199"/>
      <c r="C25" s="2">
        <f>Grafikon!$O14</f>
        <v>46.847000000000001</v>
      </c>
      <c r="D25" s="3">
        <f>Grafikon!$R14</f>
        <v>100</v>
      </c>
      <c r="E25" s="10">
        <f>IFERROR(VLOOKUP($B25,Súpravy!$A$6:$Q$31,6,FALSE),0)</f>
        <v>0</v>
      </c>
      <c r="F25" s="31">
        <f t="shared" si="4"/>
        <v>0</v>
      </c>
      <c r="G25" s="10">
        <f>IFERROR(VLOOKUP($B25,Súpravy!$A$6:$Q$31,3,FALSE),0)</f>
        <v>0</v>
      </c>
      <c r="H25" s="17">
        <f t="shared" si="6"/>
        <v>0</v>
      </c>
      <c r="I25" s="12">
        <f>IFERROR(VLOOKUP($B25,Súpravy!$A$6:$Q$31,9,FALSE),0)</f>
        <v>0</v>
      </c>
      <c r="J25" s="12">
        <f>IFERROR(VLOOKUP($B25,Súpravy!$A$6:$Q$31,12,FALSE),0)</f>
        <v>0</v>
      </c>
      <c r="K25" s="12">
        <f>IFERROR(VLOOKUP($B25,Súpravy!$A$6:$Q$31,17,FALSE),0)</f>
        <v>0</v>
      </c>
      <c r="L25" s="12">
        <f>IFERROR(VLOOKUP($B25,Súpravy!$A$6:$Q$31,18,FALSE),0)</f>
        <v>0</v>
      </c>
      <c r="M25" s="17">
        <f t="shared" si="5"/>
        <v>0</v>
      </c>
      <c r="N25" s="93">
        <f>IF(OR(C25=53.328,M25&lt;=80%),0,D25*(Ocenenie!$E$56*(M25)*(M25)*(M25)+Ocenenie!$E$57*(M25)*(M25)+Ocenenie!$E$58*(M25)-Ocenenie!$E$60))</f>
        <v>0</v>
      </c>
    </row>
    <row r="26" spans="1:14" x14ac:dyDescent="0.25">
      <c r="A26" s="1" t="str">
        <f>Grafikon!$M15</f>
        <v>Zr 1773</v>
      </c>
      <c r="B26" s="199"/>
      <c r="C26" s="2">
        <f>Grafikon!$O15</f>
        <v>100.175</v>
      </c>
      <c r="D26" s="3">
        <f>Grafikon!$R15</f>
        <v>100</v>
      </c>
      <c r="E26" s="10">
        <f>IFERROR(VLOOKUP($B26,Súpravy!$A$6:$Q$31,6,FALSE),0)</f>
        <v>0</v>
      </c>
      <c r="F26" s="31">
        <f t="shared" si="4"/>
        <v>0</v>
      </c>
      <c r="G26" s="10">
        <f>IFERROR(VLOOKUP($B26,Súpravy!$A$6:$Q$31,3,FALSE),0)</f>
        <v>0</v>
      </c>
      <c r="H26" s="17">
        <f t="shared" si="6"/>
        <v>0</v>
      </c>
      <c r="I26" s="12">
        <f>IFERROR(VLOOKUP($B26,Súpravy!$A$6:$Q$31,9,FALSE),0)</f>
        <v>0</v>
      </c>
      <c r="J26" s="12">
        <f>IFERROR(VLOOKUP($B26,Súpravy!$A$6:$Q$31,12,FALSE),0)</f>
        <v>0</v>
      </c>
      <c r="K26" s="12">
        <f>IFERROR(VLOOKUP($B26,Súpravy!$A$6:$Q$31,17,FALSE),0)</f>
        <v>0</v>
      </c>
      <c r="L26" s="12">
        <f>IFERROR(VLOOKUP($B26,Súpravy!$A$6:$Q$31,18,FALSE),0)</f>
        <v>0</v>
      </c>
      <c r="M26" s="17">
        <f t="shared" si="5"/>
        <v>0</v>
      </c>
      <c r="N26" s="93">
        <f>IF(OR(C26=53.328,M26&lt;=80%),0,D26*(Ocenenie!$E$56*(M26)*(M26)*(M26)+Ocenenie!$E$57*(M26)*(M26)+Ocenenie!$E$58*(M26)-Ocenenie!$E$60))</f>
        <v>0</v>
      </c>
    </row>
    <row r="27" spans="1:14" x14ac:dyDescent="0.25">
      <c r="A27" s="1" t="str">
        <f>Grafikon!$M16</f>
        <v>Os 4315</v>
      </c>
      <c r="B27" s="199"/>
      <c r="C27" s="2">
        <f>Grafikon!$O16</f>
        <v>46.847000000000001</v>
      </c>
      <c r="D27" s="3">
        <f>Grafikon!$R16</f>
        <v>100</v>
      </c>
      <c r="E27" s="10">
        <f>IFERROR(VLOOKUP($B27,Súpravy!$A$6:$Q$31,6,FALSE),0)</f>
        <v>0</v>
      </c>
      <c r="F27" s="31">
        <f t="shared" si="4"/>
        <v>0</v>
      </c>
      <c r="G27" s="10">
        <f>IFERROR(VLOOKUP($B27,Súpravy!$A$6:$Q$31,3,FALSE),0)</f>
        <v>0</v>
      </c>
      <c r="H27" s="17">
        <f t="shared" si="6"/>
        <v>0</v>
      </c>
      <c r="I27" s="12">
        <f>IFERROR(VLOOKUP($B27,Súpravy!$A$6:$Q$31,9,FALSE),0)</f>
        <v>0</v>
      </c>
      <c r="J27" s="12">
        <f>IFERROR(VLOOKUP($B27,Súpravy!$A$6:$Q$31,12,FALSE),0)</f>
        <v>0</v>
      </c>
      <c r="K27" s="12">
        <f>IFERROR(VLOOKUP($B27,Súpravy!$A$6:$Q$31,17,FALSE),0)</f>
        <v>0</v>
      </c>
      <c r="L27" s="12">
        <f>IFERROR(VLOOKUP($B27,Súpravy!$A$6:$Q$31,18,FALSE),0)</f>
        <v>0</v>
      </c>
      <c r="M27" s="17">
        <f t="shared" si="5"/>
        <v>0</v>
      </c>
      <c r="N27" s="93">
        <f>IF(OR(C27=53.328,M27&lt;=80%),0,D27*(Ocenenie!$E$56*(M27)*(M27)*(M27)+Ocenenie!$E$57*(M27)*(M27)+Ocenenie!$E$58*(M27)-Ocenenie!$E$60))</f>
        <v>0</v>
      </c>
    </row>
    <row r="28" spans="1:14" x14ac:dyDescent="0.25">
      <c r="A28" s="1" t="str">
        <f>Grafikon!$M17</f>
        <v>Os 4317</v>
      </c>
      <c r="B28" s="199"/>
      <c r="C28" s="2">
        <f>Grafikon!$O17</f>
        <v>46.847000000000001</v>
      </c>
      <c r="D28" s="3">
        <f>Grafikon!$R17</f>
        <v>100</v>
      </c>
      <c r="E28" s="10">
        <f>IFERROR(VLOOKUP($B28,Súpravy!$A$6:$Q$31,6,FALSE),0)</f>
        <v>0</v>
      </c>
      <c r="F28" s="31">
        <f t="shared" si="4"/>
        <v>0</v>
      </c>
      <c r="G28" s="10">
        <f>IFERROR(VLOOKUP($B28,Súpravy!$A$6:$Q$31,3,FALSE),0)</f>
        <v>0</v>
      </c>
      <c r="H28" s="17">
        <f t="shared" si="6"/>
        <v>0</v>
      </c>
      <c r="I28" s="12">
        <f>IFERROR(VLOOKUP($B28,Súpravy!$A$6:$Q$31,9,FALSE),0)</f>
        <v>0</v>
      </c>
      <c r="J28" s="12">
        <f>IFERROR(VLOOKUP($B28,Súpravy!$A$6:$Q$31,12,FALSE),0)</f>
        <v>0</v>
      </c>
      <c r="K28" s="12">
        <f>IFERROR(VLOOKUP($B28,Súpravy!$A$6:$Q$31,17,FALSE),0)</f>
        <v>0</v>
      </c>
      <c r="L28" s="12">
        <f>IFERROR(VLOOKUP($B28,Súpravy!$A$6:$Q$31,18,FALSE),0)</f>
        <v>0</v>
      </c>
      <c r="M28" s="17">
        <f t="shared" si="5"/>
        <v>0</v>
      </c>
      <c r="N28" s="93">
        <f>IF(OR(C28=53.328,M28&lt;=80%),0,D28*(Ocenenie!$E$56*(M28)*(M28)*(M28)+Ocenenie!$E$57*(M28)*(M28)+Ocenenie!$E$58*(M28)-Ocenenie!$E$60))</f>
        <v>0</v>
      </c>
    </row>
    <row r="29" spans="1:14" x14ac:dyDescent="0.25">
      <c r="A29" s="1" t="str">
        <f>Grafikon!$M18</f>
        <v>Zr 1777</v>
      </c>
      <c r="B29" s="199"/>
      <c r="C29" s="2">
        <f>Grafikon!$O18</f>
        <v>100.175</v>
      </c>
      <c r="D29" s="3">
        <f>Grafikon!$R18</f>
        <v>100</v>
      </c>
      <c r="E29" s="10">
        <f>IFERROR(VLOOKUP($B29,Súpravy!$A$6:$Q$31,6,FALSE),0)</f>
        <v>0</v>
      </c>
      <c r="F29" s="31">
        <f t="shared" si="4"/>
        <v>0</v>
      </c>
      <c r="G29" s="10">
        <f>IFERROR(VLOOKUP($B29,Súpravy!$A$6:$Q$31,3,FALSE),0)</f>
        <v>0</v>
      </c>
      <c r="H29" s="17">
        <f t="shared" si="6"/>
        <v>0</v>
      </c>
      <c r="I29" s="12">
        <f>IFERROR(VLOOKUP($B29,Súpravy!$A$6:$Q$31,9,FALSE),0)</f>
        <v>0</v>
      </c>
      <c r="J29" s="12">
        <f>IFERROR(VLOOKUP($B29,Súpravy!$A$6:$Q$31,12,FALSE),0)</f>
        <v>0</v>
      </c>
      <c r="K29" s="12">
        <f>IFERROR(VLOOKUP($B29,Súpravy!$A$6:$Q$31,17,FALSE),0)</f>
        <v>0</v>
      </c>
      <c r="L29" s="12">
        <f>IFERROR(VLOOKUP($B29,Súpravy!$A$6:$Q$31,18,FALSE),0)</f>
        <v>0</v>
      </c>
      <c r="M29" s="17">
        <f t="shared" si="5"/>
        <v>0</v>
      </c>
      <c r="N29" s="93">
        <f>IF(OR(C29=53.328,M29&lt;=80%),0,D29*(Ocenenie!$E$56*(M29)*(M29)*(M29)+Ocenenie!$E$57*(M29)*(M29)+Ocenenie!$E$58*(M29)-Ocenenie!$E$60))</f>
        <v>0</v>
      </c>
    </row>
    <row r="30" spans="1:14" x14ac:dyDescent="0.25">
      <c r="A30" s="1" t="str">
        <f>Grafikon!$M19</f>
        <v>Os 4319</v>
      </c>
      <c r="B30" s="199"/>
      <c r="C30" s="2">
        <f>Grafikon!$O19</f>
        <v>46.847000000000001</v>
      </c>
      <c r="D30" s="3">
        <f>Grafikon!$R19</f>
        <v>100</v>
      </c>
      <c r="E30" s="10">
        <f>IFERROR(VLOOKUP($B30,Súpravy!$A$6:$Q$31,6,FALSE),0)</f>
        <v>0</v>
      </c>
      <c r="F30" s="31">
        <f t="shared" si="4"/>
        <v>0</v>
      </c>
      <c r="G30" s="10">
        <f>IFERROR(VLOOKUP($B30,Súpravy!$A$6:$Q$31,3,FALSE),0)</f>
        <v>0</v>
      </c>
      <c r="H30" s="17">
        <f t="shared" si="6"/>
        <v>0</v>
      </c>
      <c r="I30" s="12">
        <f>IFERROR(VLOOKUP($B30,Súpravy!$A$6:$Q$31,9,FALSE),0)</f>
        <v>0</v>
      </c>
      <c r="J30" s="12">
        <f>IFERROR(VLOOKUP($B30,Súpravy!$A$6:$Q$31,12,FALSE),0)</f>
        <v>0</v>
      </c>
      <c r="K30" s="12">
        <f>IFERROR(VLOOKUP($B30,Súpravy!$A$6:$Q$31,17,FALSE),0)</f>
        <v>0</v>
      </c>
      <c r="L30" s="12">
        <f>IFERROR(VLOOKUP($B30,Súpravy!$A$6:$Q$31,18,FALSE),0)</f>
        <v>0</v>
      </c>
      <c r="M30" s="17">
        <f t="shared" si="5"/>
        <v>0</v>
      </c>
      <c r="N30" s="93">
        <f>IF(OR(C30=53.328,M30&lt;=80%),0,D30*(Ocenenie!$E$56*(M30)*(M30)*(M30)+Ocenenie!$E$57*(M30)*(M30)+Ocenenie!$E$58*(M30)-Ocenenie!$E$60))</f>
        <v>0</v>
      </c>
    </row>
    <row r="31" spans="1:14" x14ac:dyDescent="0.25">
      <c r="A31" s="1" t="str">
        <f>Grafikon!$M20</f>
        <v>Os 4321</v>
      </c>
      <c r="B31" s="199"/>
      <c r="C31" s="2">
        <f>Grafikon!$O20</f>
        <v>46.847000000000001</v>
      </c>
      <c r="D31" s="3">
        <f>Grafikon!$R20</f>
        <v>100</v>
      </c>
      <c r="E31" s="10">
        <f>IFERROR(VLOOKUP($B31,Súpravy!$A$6:$Q$31,6,FALSE),0)</f>
        <v>0</v>
      </c>
      <c r="F31" s="31">
        <f t="shared" si="4"/>
        <v>0</v>
      </c>
      <c r="G31" s="10">
        <f>IFERROR(VLOOKUP($B31,Súpravy!$A$6:$Q$31,3,FALSE),0)</f>
        <v>0</v>
      </c>
      <c r="H31" s="17">
        <f t="shared" si="6"/>
        <v>0</v>
      </c>
      <c r="I31" s="12">
        <f>IFERROR(VLOOKUP($B31,Súpravy!$A$6:$Q$31,9,FALSE),0)</f>
        <v>0</v>
      </c>
      <c r="J31" s="12">
        <f>IFERROR(VLOOKUP($B31,Súpravy!$A$6:$Q$31,12,FALSE),0)</f>
        <v>0</v>
      </c>
      <c r="K31" s="12">
        <f>IFERROR(VLOOKUP($B31,Súpravy!$A$6:$Q$31,17,FALSE),0)</f>
        <v>0</v>
      </c>
      <c r="L31" s="12">
        <f>IFERROR(VLOOKUP($B31,Súpravy!$A$6:$Q$31,18,FALSE),0)</f>
        <v>0</v>
      </c>
      <c r="M31" s="17">
        <f t="shared" si="5"/>
        <v>0</v>
      </c>
      <c r="N31" s="93">
        <f>IF(OR(C31=53.328,M31&lt;=80%),0,D31*(Ocenenie!$E$56*(M31)*(M31)*(M31)+Ocenenie!$E$57*(M31)*(M31)+Ocenenie!$E$58*(M31)-Ocenenie!$E$60))</f>
        <v>0</v>
      </c>
    </row>
    <row r="32" spans="1:14" x14ac:dyDescent="0.25">
      <c r="A32" s="1" t="str">
        <f>Grafikon!$M21</f>
        <v>Zr 1781</v>
      </c>
      <c r="B32" s="199"/>
      <c r="C32" s="2">
        <f>Grafikon!$O21</f>
        <v>100.175</v>
      </c>
      <c r="D32" s="3">
        <f>Grafikon!$R21</f>
        <v>100</v>
      </c>
      <c r="E32" s="10">
        <f>IFERROR(VLOOKUP($B32,Súpravy!$A$6:$Q$31,6,FALSE),0)</f>
        <v>0</v>
      </c>
      <c r="F32" s="31">
        <f t="shared" si="4"/>
        <v>0</v>
      </c>
      <c r="G32" s="10">
        <f>IFERROR(VLOOKUP($B32,Súpravy!$A$6:$Q$31,3,FALSE),0)</f>
        <v>0</v>
      </c>
      <c r="H32" s="17">
        <f t="shared" si="6"/>
        <v>0</v>
      </c>
      <c r="I32" s="12">
        <f>IFERROR(VLOOKUP($B32,Súpravy!$A$6:$Q$31,9,FALSE),0)</f>
        <v>0</v>
      </c>
      <c r="J32" s="12">
        <f>IFERROR(VLOOKUP($B32,Súpravy!$A$6:$Q$31,12,FALSE),0)</f>
        <v>0</v>
      </c>
      <c r="K32" s="12">
        <f>IFERROR(VLOOKUP($B32,Súpravy!$A$6:$Q$31,17,FALSE),0)</f>
        <v>0</v>
      </c>
      <c r="L32" s="12">
        <f>IFERROR(VLOOKUP($B32,Súpravy!$A$6:$Q$31,18,FALSE),0)</f>
        <v>0</v>
      </c>
      <c r="M32" s="17">
        <f t="shared" si="5"/>
        <v>0</v>
      </c>
      <c r="N32" s="93">
        <f>IF(OR(C32=53.328,M32&lt;=80%),0,D32*(Ocenenie!$E$56*(M32)*(M32)*(M32)+Ocenenie!$E$57*(M32)*(M32)+Ocenenie!$E$58*(M32)-Ocenenie!$E$60))</f>
        <v>0</v>
      </c>
    </row>
    <row r="33" spans="1:14" x14ac:dyDescent="0.25">
      <c r="A33" s="1" t="str">
        <f>Grafikon!$M22</f>
        <v>Os 4323</v>
      </c>
      <c r="B33" s="199"/>
      <c r="C33" s="2">
        <f>Grafikon!$O22</f>
        <v>46.847000000000001</v>
      </c>
      <c r="D33" s="3">
        <f>Grafikon!$R22</f>
        <v>100</v>
      </c>
      <c r="E33" s="10">
        <f>IFERROR(VLOOKUP($B33,Súpravy!$A$6:$Q$31,6,FALSE),0)</f>
        <v>0</v>
      </c>
      <c r="F33" s="31">
        <f t="shared" si="4"/>
        <v>0</v>
      </c>
      <c r="G33" s="10">
        <f>IFERROR(VLOOKUP($B33,Súpravy!$A$6:$Q$31,3,FALSE),0)</f>
        <v>0</v>
      </c>
      <c r="H33" s="17">
        <f t="shared" si="6"/>
        <v>0</v>
      </c>
      <c r="I33" s="12">
        <f>IFERROR(VLOOKUP($B33,Súpravy!$A$6:$Q$31,9,FALSE),0)</f>
        <v>0</v>
      </c>
      <c r="J33" s="12">
        <f>IFERROR(VLOOKUP($B33,Súpravy!$A$6:$Q$31,12,FALSE),0)</f>
        <v>0</v>
      </c>
      <c r="K33" s="12">
        <f>IFERROR(VLOOKUP($B33,Súpravy!$A$6:$Q$31,17,FALSE),0)</f>
        <v>0</v>
      </c>
      <c r="L33" s="12">
        <f>IFERROR(VLOOKUP($B33,Súpravy!$A$6:$Q$31,18,FALSE),0)</f>
        <v>0</v>
      </c>
      <c r="M33" s="17">
        <f t="shared" si="5"/>
        <v>0</v>
      </c>
      <c r="N33" s="93">
        <f>IF(OR(C33=53.328,M33&lt;=80%),0,D33*(Ocenenie!$E$56*(M33)*(M33)*(M33)+Ocenenie!$E$57*(M33)*(M33)+Ocenenie!$E$58*(M33)-Ocenenie!$E$60))</f>
        <v>0</v>
      </c>
    </row>
    <row r="34" spans="1:14" x14ac:dyDescent="0.25">
      <c r="A34" s="1" t="str">
        <f>Grafikon!$M23</f>
        <v>Os 4325</v>
      </c>
      <c r="B34" s="199"/>
      <c r="C34" s="2">
        <f>Grafikon!$O23</f>
        <v>46.847000000000001</v>
      </c>
      <c r="D34" s="3">
        <f>Grafikon!$R23</f>
        <v>100</v>
      </c>
      <c r="E34" s="10">
        <f>IFERROR(VLOOKUP($B34,Súpravy!$A$6:$Q$31,6,FALSE),0)</f>
        <v>0</v>
      </c>
      <c r="F34" s="31">
        <f t="shared" si="4"/>
        <v>0</v>
      </c>
      <c r="G34" s="10">
        <f>IFERROR(VLOOKUP($B34,Súpravy!$A$6:$Q$31,3,FALSE),0)</f>
        <v>0</v>
      </c>
      <c r="H34" s="17">
        <f t="shared" si="6"/>
        <v>0</v>
      </c>
      <c r="I34" s="12">
        <f>IFERROR(VLOOKUP($B34,Súpravy!$A$6:$Q$31,9,FALSE),0)</f>
        <v>0</v>
      </c>
      <c r="J34" s="12">
        <f>IFERROR(VLOOKUP($B34,Súpravy!$A$6:$Q$31,12,FALSE),0)</f>
        <v>0</v>
      </c>
      <c r="K34" s="12">
        <f>IFERROR(VLOOKUP($B34,Súpravy!$A$6:$Q$31,17,FALSE),0)</f>
        <v>0</v>
      </c>
      <c r="L34" s="12">
        <f>IFERROR(VLOOKUP($B34,Súpravy!$A$6:$Q$31,18,FALSE),0)</f>
        <v>0</v>
      </c>
      <c r="M34" s="17">
        <f t="shared" si="5"/>
        <v>0</v>
      </c>
      <c r="N34" s="93">
        <f>IF(OR(C34=53.328,M34&lt;=80%),0,D34*(Ocenenie!$E$56*(M34)*(M34)*(M34)+Ocenenie!$E$57*(M34)*(M34)+Ocenenie!$E$58*(M34)-Ocenenie!$E$60))</f>
        <v>0</v>
      </c>
    </row>
    <row r="35" spans="1:14" x14ac:dyDescent="0.25">
      <c r="A35" s="1" t="str">
        <f>Grafikon!$M24</f>
        <v>Zr 1785</v>
      </c>
      <c r="B35" s="199"/>
      <c r="C35" s="2">
        <f>Grafikon!$O24</f>
        <v>100.175</v>
      </c>
      <c r="D35" s="3">
        <f>Grafikon!$R24</f>
        <v>100</v>
      </c>
      <c r="E35" s="10">
        <f>IFERROR(VLOOKUP($B35,Súpravy!$A$6:$Q$31,6,FALSE),0)</f>
        <v>0</v>
      </c>
      <c r="F35" s="31">
        <f t="shared" si="4"/>
        <v>0</v>
      </c>
      <c r="G35" s="10">
        <f>IFERROR(VLOOKUP($B35,Súpravy!$A$6:$Q$31,3,FALSE),0)</f>
        <v>0</v>
      </c>
      <c r="H35" s="17">
        <f t="shared" si="6"/>
        <v>0</v>
      </c>
      <c r="I35" s="12">
        <f>IFERROR(VLOOKUP($B35,Súpravy!$A$6:$Q$31,9,FALSE),0)</f>
        <v>0</v>
      </c>
      <c r="J35" s="12">
        <f>IFERROR(VLOOKUP($B35,Súpravy!$A$6:$Q$31,12,FALSE),0)</f>
        <v>0</v>
      </c>
      <c r="K35" s="12">
        <f>IFERROR(VLOOKUP($B35,Súpravy!$A$6:$Q$31,17,FALSE),0)</f>
        <v>0</v>
      </c>
      <c r="L35" s="12">
        <f>IFERROR(VLOOKUP($B35,Súpravy!$A$6:$Q$31,18,FALSE),0)</f>
        <v>0</v>
      </c>
      <c r="M35" s="17">
        <f t="shared" si="5"/>
        <v>0</v>
      </c>
      <c r="N35" s="93">
        <f>IF(OR(C35=53.328,M35&lt;=80%),0,D35*(Ocenenie!$E$56*(M35)*(M35)*(M35)+Ocenenie!$E$57*(M35)*(M35)+Ocenenie!$E$58*(M35)-Ocenenie!$E$60))</f>
        <v>0</v>
      </c>
    </row>
    <row r="36" spans="1:14" x14ac:dyDescent="0.25">
      <c r="A36" s="1" t="str">
        <f>Grafikon!$M25</f>
        <v>Os 4327</v>
      </c>
      <c r="B36" s="199"/>
      <c r="C36" s="2">
        <f>Grafikon!$O25</f>
        <v>46.847000000000001</v>
      </c>
      <c r="D36" s="3">
        <f>Grafikon!$R25</f>
        <v>100</v>
      </c>
      <c r="E36" s="10">
        <f>IFERROR(VLOOKUP($B36,Súpravy!$A$6:$Q$31,6,FALSE),0)</f>
        <v>0</v>
      </c>
      <c r="F36" s="31">
        <f t="shared" si="4"/>
        <v>0</v>
      </c>
      <c r="G36" s="10">
        <f>IFERROR(VLOOKUP($B36,Súpravy!$A$6:$Q$31,3,FALSE),0)</f>
        <v>0</v>
      </c>
      <c r="H36" s="17">
        <f t="shared" si="6"/>
        <v>0</v>
      </c>
      <c r="I36" s="12">
        <f>IFERROR(VLOOKUP($B36,Súpravy!$A$6:$Q$31,9,FALSE),0)</f>
        <v>0</v>
      </c>
      <c r="J36" s="12">
        <f>IFERROR(VLOOKUP($B36,Súpravy!$A$6:$Q$31,12,FALSE),0)</f>
        <v>0</v>
      </c>
      <c r="K36" s="12">
        <f>IFERROR(VLOOKUP($B36,Súpravy!$A$6:$Q$31,17,FALSE),0)</f>
        <v>0</v>
      </c>
      <c r="L36" s="12">
        <f>IFERROR(VLOOKUP($B36,Súpravy!$A$6:$Q$31,18,FALSE),0)</f>
        <v>0</v>
      </c>
      <c r="M36" s="17">
        <f t="shared" si="5"/>
        <v>0</v>
      </c>
      <c r="N36" s="93">
        <f>IF(OR(C36=53.328,M36&lt;=80%),0,D36*(Ocenenie!$E$56*(M36)*(M36)*(M36)+Ocenenie!$E$57*(M36)*(M36)+Ocenenie!$E$58*(M36)-Ocenenie!$E$60))</f>
        <v>0</v>
      </c>
    </row>
    <row r="37" spans="1:14" x14ac:dyDescent="0.25">
      <c r="A37" s="1" t="str">
        <f>Grafikon!$M26</f>
        <v>Os 4329</v>
      </c>
      <c r="B37" s="199"/>
      <c r="C37" s="2">
        <f>Grafikon!$O26</f>
        <v>46.847000000000001</v>
      </c>
      <c r="D37" s="3">
        <f>Grafikon!$R26</f>
        <v>100</v>
      </c>
      <c r="E37" s="10">
        <f>IFERROR(VLOOKUP($B37,Súpravy!$A$6:$Q$31,6,FALSE),0)</f>
        <v>0</v>
      </c>
      <c r="F37" s="31">
        <f t="shared" si="4"/>
        <v>0</v>
      </c>
      <c r="G37" s="10">
        <f>IFERROR(VLOOKUP($B37,Súpravy!$A$6:$Q$31,3,FALSE),0)</f>
        <v>0</v>
      </c>
      <c r="H37" s="17">
        <f t="shared" si="6"/>
        <v>0</v>
      </c>
      <c r="I37" s="12">
        <f>IFERROR(VLOOKUP($B37,Súpravy!$A$6:$Q$31,9,FALSE),0)</f>
        <v>0</v>
      </c>
      <c r="J37" s="12">
        <f>IFERROR(VLOOKUP($B37,Súpravy!$A$6:$Q$31,12,FALSE),0)</f>
        <v>0</v>
      </c>
      <c r="K37" s="12">
        <f>IFERROR(VLOOKUP($B37,Súpravy!$A$6:$Q$31,17,FALSE),0)</f>
        <v>0</v>
      </c>
      <c r="L37" s="12">
        <f>IFERROR(VLOOKUP($B37,Súpravy!$A$6:$Q$31,18,FALSE),0)</f>
        <v>0</v>
      </c>
      <c r="M37" s="17">
        <f t="shared" si="5"/>
        <v>0</v>
      </c>
      <c r="N37" s="93">
        <f>IF(OR(C37=53.328,M37&lt;=80%),0,D37*(Ocenenie!$E$56*(M37)*(M37)*(M37)+Ocenenie!$E$57*(M37)*(M37)+Ocenenie!$E$58*(M37)-Ocenenie!$E$60))</f>
        <v>0</v>
      </c>
    </row>
    <row r="38" spans="1:14" x14ac:dyDescent="0.25">
      <c r="A38" s="1" t="str">
        <f>Grafikon!$M27</f>
        <v>Zr 1789</v>
      </c>
      <c r="B38" s="199"/>
      <c r="C38" s="2">
        <f>Grafikon!$O27</f>
        <v>100.175</v>
      </c>
      <c r="D38" s="3">
        <f>Grafikon!$R27</f>
        <v>100</v>
      </c>
      <c r="E38" s="10">
        <f>IFERROR(VLOOKUP($B38,Súpravy!$A$6:$Q$31,6,FALSE),0)</f>
        <v>0</v>
      </c>
      <c r="F38" s="31">
        <f t="shared" si="4"/>
        <v>0</v>
      </c>
      <c r="G38" s="10">
        <f>IFERROR(VLOOKUP($B38,Súpravy!$A$6:$Q$31,3,FALSE),0)</f>
        <v>0</v>
      </c>
      <c r="H38" s="17">
        <f t="shared" si="6"/>
        <v>0</v>
      </c>
      <c r="I38" s="12">
        <f>IFERROR(VLOOKUP($B38,Súpravy!$A$6:$Q$31,9,FALSE),0)</f>
        <v>0</v>
      </c>
      <c r="J38" s="12">
        <f>IFERROR(VLOOKUP($B38,Súpravy!$A$6:$Q$31,12,FALSE),0)</f>
        <v>0</v>
      </c>
      <c r="K38" s="12">
        <f>IFERROR(VLOOKUP($B38,Súpravy!$A$6:$Q$31,17,FALSE),0)</f>
        <v>0</v>
      </c>
      <c r="L38" s="12">
        <f>IFERROR(VLOOKUP($B38,Súpravy!$A$6:$Q$31,18,FALSE),0)</f>
        <v>0</v>
      </c>
      <c r="M38" s="17">
        <f t="shared" si="5"/>
        <v>0</v>
      </c>
      <c r="N38" s="93">
        <f>IF(OR(C38=53.328,M38&lt;=80%),0,D38*(Ocenenie!$E$56*(M38)*(M38)*(M38)+Ocenenie!$E$57*(M38)*(M38)+Ocenenie!$E$58*(M38)-Ocenenie!$E$60))</f>
        <v>0</v>
      </c>
    </row>
    <row r="39" spans="1:14" x14ac:dyDescent="0.25">
      <c r="A39" s="1" t="str">
        <f>Grafikon!$M28</f>
        <v>Os 4331</v>
      </c>
      <c r="B39" s="199"/>
      <c r="C39" s="2">
        <f>Grafikon!$O28</f>
        <v>46.847000000000001</v>
      </c>
      <c r="D39" s="3">
        <f>Grafikon!$R28</f>
        <v>100</v>
      </c>
      <c r="E39" s="10">
        <f>IFERROR(VLOOKUP($B39,Súpravy!$A$6:$Q$31,6,FALSE),0)</f>
        <v>0</v>
      </c>
      <c r="F39" s="31">
        <f t="shared" si="4"/>
        <v>0</v>
      </c>
      <c r="G39" s="10">
        <f>IFERROR(VLOOKUP($B39,Súpravy!$A$6:$Q$31,3,FALSE),0)</f>
        <v>0</v>
      </c>
      <c r="H39" s="17">
        <f t="shared" si="6"/>
        <v>0</v>
      </c>
      <c r="I39" s="12">
        <f>IFERROR(VLOOKUP($B39,Súpravy!$A$6:$Q$31,9,FALSE),0)</f>
        <v>0</v>
      </c>
      <c r="J39" s="12">
        <f>IFERROR(VLOOKUP($B39,Súpravy!$A$6:$Q$31,12,FALSE),0)</f>
        <v>0</v>
      </c>
      <c r="K39" s="12">
        <f>IFERROR(VLOOKUP($B39,Súpravy!$A$6:$Q$31,17,FALSE),0)</f>
        <v>0</v>
      </c>
      <c r="L39" s="12">
        <f>IFERROR(VLOOKUP($B39,Súpravy!$A$6:$Q$31,18,FALSE),0)</f>
        <v>0</v>
      </c>
      <c r="M39" s="17">
        <f t="shared" si="5"/>
        <v>0</v>
      </c>
      <c r="N39" s="93">
        <f>IF(OR(C39=53.328,M39&lt;=80%),0,D39*(Ocenenie!$E$56*(M39)*(M39)*(M39)+Ocenenie!$E$57*(M39)*(M39)+Ocenenie!$E$58*(M39)-Ocenenie!$E$60))</f>
        <v>0</v>
      </c>
    </row>
    <row r="40" spans="1:14" x14ac:dyDescent="0.25">
      <c r="A40" s="1" t="str">
        <f>Grafikon!$M29</f>
        <v>Os 4333</v>
      </c>
      <c r="B40" s="199"/>
      <c r="C40" s="2">
        <f>Grafikon!$O29</f>
        <v>46.847000000000001</v>
      </c>
      <c r="D40" s="3">
        <f>Grafikon!$R29</f>
        <v>100</v>
      </c>
      <c r="E40" s="10">
        <f>IFERROR(VLOOKUP($B40,Súpravy!$A$6:$Q$31,6,FALSE),0)</f>
        <v>0</v>
      </c>
      <c r="F40" s="31">
        <f t="shared" si="4"/>
        <v>0</v>
      </c>
      <c r="G40" s="10">
        <f>IFERROR(VLOOKUP($B40,Súpravy!$A$6:$Q$31,3,FALSE),0)</f>
        <v>0</v>
      </c>
      <c r="H40" s="17">
        <f t="shared" si="6"/>
        <v>0</v>
      </c>
      <c r="I40" s="12">
        <f>IFERROR(VLOOKUP($B40,Súpravy!$A$6:$Q$31,9,FALSE),0)</f>
        <v>0</v>
      </c>
      <c r="J40" s="12">
        <f>IFERROR(VLOOKUP($B40,Súpravy!$A$6:$Q$31,12,FALSE),0)</f>
        <v>0</v>
      </c>
      <c r="K40" s="12">
        <f>IFERROR(VLOOKUP($B40,Súpravy!$A$6:$Q$31,17,FALSE),0)</f>
        <v>0</v>
      </c>
      <c r="L40" s="12">
        <f>IFERROR(VLOOKUP($B40,Súpravy!$A$6:$Q$31,18,FALSE),0)</f>
        <v>0</v>
      </c>
      <c r="M40" s="17">
        <f t="shared" si="5"/>
        <v>0</v>
      </c>
      <c r="N40" s="93">
        <f>IF(OR(C40=53.328,M40&lt;=80%),0,D40*(Ocenenie!$E$56*(M40)*(M40)*(M40)+Ocenenie!$E$57*(M40)*(M40)+Ocenenie!$E$58*(M40)-Ocenenie!$E$60))</f>
        <v>0</v>
      </c>
    </row>
    <row r="41" spans="1:14" x14ac:dyDescent="0.25">
      <c r="A41" s="1" t="str">
        <f>Grafikon!$M30</f>
        <v>Os 4335</v>
      </c>
      <c r="B41" s="199"/>
      <c r="C41" s="2">
        <f>Grafikon!$O30</f>
        <v>46.847000000000001</v>
      </c>
      <c r="D41" s="3">
        <f>Grafikon!$R30</f>
        <v>100</v>
      </c>
      <c r="E41" s="10">
        <f>IFERROR(VLOOKUP($B41,Súpravy!$A$6:$Q$31,6,FALSE),0)</f>
        <v>0</v>
      </c>
      <c r="F41" s="31">
        <f t="shared" si="4"/>
        <v>0</v>
      </c>
      <c r="G41" s="10">
        <f>IFERROR(VLOOKUP($B41,Súpravy!$A$6:$Q$31,3,FALSE),0)</f>
        <v>0</v>
      </c>
      <c r="H41" s="17">
        <f t="shared" si="6"/>
        <v>0</v>
      </c>
      <c r="I41" s="12">
        <f>IFERROR(VLOOKUP($B41,Súpravy!$A$6:$Q$31,9,FALSE),0)</f>
        <v>0</v>
      </c>
      <c r="J41" s="12">
        <f>IFERROR(VLOOKUP($B41,Súpravy!$A$6:$Q$31,12,FALSE),0)</f>
        <v>0</v>
      </c>
      <c r="K41" s="12">
        <f>IFERROR(VLOOKUP($B41,Súpravy!$A$6:$Q$31,17,FALSE),0)</f>
        <v>0</v>
      </c>
      <c r="L41" s="12">
        <f>IFERROR(VLOOKUP($B41,Súpravy!$A$6:$Q$31,18,FALSE),0)</f>
        <v>0</v>
      </c>
      <c r="M41" s="17">
        <f t="shared" si="5"/>
        <v>0</v>
      </c>
      <c r="N41" s="93">
        <f>IF(OR(C41=53.328,M41&lt;=80%),0,D41*(Ocenenie!$E$56*(M41)*(M41)*(M41)+Ocenenie!$E$57*(M41)*(M41)+Ocenenie!$E$58*(M41)-Ocenenie!$E$60))</f>
        <v>0</v>
      </c>
    </row>
    <row r="42" spans="1:14" ht="18" customHeight="1" x14ac:dyDescent="0.25">
      <c r="A42" s="13" t="s">
        <v>136</v>
      </c>
    </row>
    <row r="43" spans="1:14" x14ac:dyDescent="0.25">
      <c r="A43" s="1" t="str">
        <f>Grafikon!$M32</f>
        <v>Os 4300</v>
      </c>
      <c r="B43" s="199"/>
      <c r="C43" s="2">
        <f>Grafikon!$O32</f>
        <v>46.847000000000001</v>
      </c>
      <c r="D43" s="3">
        <f>Grafikon!$R32</f>
        <v>200</v>
      </c>
      <c r="E43" s="10">
        <f>IFERROR(VLOOKUP($B43,Súpravy!$A$6:$Q$31,6,FALSE),0)</f>
        <v>0</v>
      </c>
      <c r="F43" s="31">
        <f t="shared" ref="F43:F69" si="7">MIN(E43/D43,1)</f>
        <v>0</v>
      </c>
      <c r="G43" s="10">
        <f>IFERROR(VLOOKUP($B43,Súpravy!$A$6:$Q$31,3,FALSE),0)</f>
        <v>0</v>
      </c>
      <c r="H43" s="17">
        <f t="shared" si="6"/>
        <v>0</v>
      </c>
      <c r="I43" s="12">
        <f>IFERROR(VLOOKUP($B43,Súpravy!$A$6:$Q$31,9,FALSE),0)</f>
        <v>0</v>
      </c>
      <c r="J43" s="12">
        <f>IFERROR(VLOOKUP($B43,Súpravy!$A$6:$Q$31,12,FALSE),0)</f>
        <v>0</v>
      </c>
      <c r="K43" s="12">
        <f>IFERROR(VLOOKUP($B43,Súpravy!$A$6:$Q$31,17,FALSE),0)</f>
        <v>0</v>
      </c>
      <c r="L43" s="12">
        <f>IFERROR(VLOOKUP($B43,Súpravy!$A$6:$Q$31,18,FALSE),0)</f>
        <v>0</v>
      </c>
      <c r="M43" s="17">
        <f>IFERROR(D43/G43,0)</f>
        <v>0</v>
      </c>
      <c r="N43" s="93">
        <f>IF(OR(C43=53.328,M43&lt;=80%),0,D43*(Ocenenie!$E$56*(M43)*(M43)*(M43)+Ocenenie!$E$57*(M43)*(M43)+Ocenenie!$E$58*(M43)-Ocenenie!$E$60))</f>
        <v>0</v>
      </c>
    </row>
    <row r="44" spans="1:14" x14ac:dyDescent="0.25">
      <c r="A44" s="1" t="str">
        <f>Grafikon!$M33</f>
        <v>Os 4370</v>
      </c>
      <c r="B44" s="199"/>
      <c r="C44" s="2">
        <f>Grafikon!$O33</f>
        <v>53.328000000000003</v>
      </c>
      <c r="D44" s="3">
        <f>Grafikon!$R33</f>
        <v>100</v>
      </c>
      <c r="E44" s="10">
        <f>IFERROR(VLOOKUP($B44,Súpravy!$A$6:$Q$31,6,FALSE),0)</f>
        <v>0</v>
      </c>
      <c r="F44" s="31">
        <f t="shared" si="7"/>
        <v>0</v>
      </c>
      <c r="G44" s="10">
        <f>IFERROR(VLOOKUP($B44,Súpravy!$A$6:$Q$31,3,FALSE),0)</f>
        <v>0</v>
      </c>
      <c r="H44" s="17">
        <f t="shared" si="6"/>
        <v>0</v>
      </c>
      <c r="I44" s="12">
        <f>IFERROR(VLOOKUP($B44,Súpravy!$A$6:$Q$31,9,FALSE),0)</f>
        <v>0</v>
      </c>
      <c r="J44" s="12">
        <f>IFERROR(VLOOKUP($B44,Súpravy!$A$6:$Q$31,12,FALSE),0)</f>
        <v>0</v>
      </c>
      <c r="K44" s="12">
        <f>IFERROR(VLOOKUP($B44,Súpravy!$A$6:$Q$31,17,FALSE),0)</f>
        <v>0</v>
      </c>
      <c r="L44" s="12">
        <f>IFERROR(VLOOKUP($B44,Súpravy!$A$6:$Q$31,18,FALSE),0)</f>
        <v>0</v>
      </c>
      <c r="M44" s="17">
        <f t="shared" ref="M44:M69" si="8">IFERROR(D44/G44,0)</f>
        <v>0</v>
      </c>
      <c r="N44" s="93">
        <f>IF(OR(C44=53.328,M44&lt;=80%),0,D44*(Ocenenie!$E$56*(M44)*(M44)*(M44)+Ocenenie!$E$57*(M44)*(M44)+Ocenenie!$E$58*(M44)-Ocenenie!$E$60))</f>
        <v>0</v>
      </c>
    </row>
    <row r="45" spans="1:14" x14ac:dyDescent="0.25">
      <c r="A45" s="1" t="str">
        <f>Grafikon!$M34</f>
        <v>Os 4302</v>
      </c>
      <c r="B45" s="199"/>
      <c r="C45" s="2">
        <f>Grafikon!$O34</f>
        <v>46.847000000000001</v>
      </c>
      <c r="D45" s="3">
        <f>Grafikon!$R34</f>
        <v>200</v>
      </c>
      <c r="E45" s="10">
        <f>IFERROR(VLOOKUP($B45,Súpravy!$A$6:$Q$31,6,FALSE),0)</f>
        <v>0</v>
      </c>
      <c r="F45" s="31">
        <f t="shared" si="7"/>
        <v>0</v>
      </c>
      <c r="G45" s="10">
        <f>IFERROR(VLOOKUP($B45,Súpravy!$A$6:$Q$31,3,FALSE),0)</f>
        <v>0</v>
      </c>
      <c r="H45" s="17">
        <f t="shared" si="6"/>
        <v>0</v>
      </c>
      <c r="I45" s="12">
        <f>IFERROR(VLOOKUP($B45,Súpravy!$A$6:$Q$31,9,FALSE),0)</f>
        <v>0</v>
      </c>
      <c r="J45" s="12">
        <f>IFERROR(VLOOKUP($B45,Súpravy!$A$6:$Q$31,12,FALSE),0)</f>
        <v>0</v>
      </c>
      <c r="K45" s="12">
        <f>IFERROR(VLOOKUP($B45,Súpravy!$A$6:$Q$31,17,FALSE),0)</f>
        <v>0</v>
      </c>
      <c r="L45" s="12">
        <f>IFERROR(VLOOKUP($B45,Súpravy!$A$6:$Q$31,18,FALSE),0)</f>
        <v>0</v>
      </c>
      <c r="M45" s="17">
        <f t="shared" si="8"/>
        <v>0</v>
      </c>
      <c r="N45" s="93">
        <f>IF(OR(C45=53.328,M45&lt;=80%),0,D45*(Ocenenie!$E$56*(M45)*(M45)*(M45)+Ocenenie!$E$57*(M45)*(M45)+Ocenenie!$E$58*(M45)-Ocenenie!$E$60))</f>
        <v>0</v>
      </c>
    </row>
    <row r="46" spans="1:14" x14ac:dyDescent="0.25">
      <c r="A46" s="1" t="str">
        <f>Grafikon!$M35</f>
        <v>Os 4304</v>
      </c>
      <c r="B46" s="199"/>
      <c r="C46" s="2">
        <f>Grafikon!$O35</f>
        <v>46.847000000000001</v>
      </c>
      <c r="D46" s="3">
        <f>Grafikon!$R35</f>
        <v>200</v>
      </c>
      <c r="E46" s="10">
        <f>IFERROR(VLOOKUP($B46,Súpravy!$A$6:$Q$31,6,FALSE),0)</f>
        <v>0</v>
      </c>
      <c r="F46" s="31">
        <f t="shared" si="7"/>
        <v>0</v>
      </c>
      <c r="G46" s="10">
        <f>IFERROR(VLOOKUP($B46,Súpravy!$A$6:$Q$31,3,FALSE),0)</f>
        <v>0</v>
      </c>
      <c r="H46" s="17">
        <f t="shared" si="6"/>
        <v>0</v>
      </c>
      <c r="I46" s="12">
        <f>IFERROR(VLOOKUP($B46,Súpravy!$A$6:$Q$31,9,FALSE),0)</f>
        <v>0</v>
      </c>
      <c r="J46" s="12">
        <f>IFERROR(VLOOKUP($B46,Súpravy!$A$6:$Q$31,12,FALSE),0)</f>
        <v>0</v>
      </c>
      <c r="K46" s="12">
        <f>IFERROR(VLOOKUP($B46,Súpravy!$A$6:$Q$31,17,FALSE),0)</f>
        <v>0</v>
      </c>
      <c r="L46" s="12">
        <f>IFERROR(VLOOKUP($B46,Súpravy!$A$6:$Q$31,18,FALSE),0)</f>
        <v>0</v>
      </c>
      <c r="M46" s="17">
        <f t="shared" si="8"/>
        <v>0</v>
      </c>
      <c r="N46" s="93">
        <f>IF(OR(C46=53.328,M46&lt;=80%),0,D46*(Ocenenie!$E$56*(M46)*(M46)*(M46)+Ocenenie!$E$57*(M46)*(M46)+Ocenenie!$E$58*(M46)-Ocenenie!$E$60))</f>
        <v>0</v>
      </c>
    </row>
    <row r="47" spans="1:14" x14ac:dyDescent="0.25">
      <c r="A47" s="1" t="str">
        <f>Grafikon!$M36</f>
        <v>Zr 1764</v>
      </c>
      <c r="B47" s="199"/>
      <c r="C47" s="2">
        <f>Grafikon!$O36</f>
        <v>100.175</v>
      </c>
      <c r="D47" s="3">
        <f>Grafikon!$R36</f>
        <v>200</v>
      </c>
      <c r="E47" s="10">
        <f>IFERROR(VLOOKUP($B47,Súpravy!$A$6:$Q$31,6,FALSE),0)</f>
        <v>0</v>
      </c>
      <c r="F47" s="31">
        <f t="shared" si="7"/>
        <v>0</v>
      </c>
      <c r="G47" s="10">
        <f>IFERROR(VLOOKUP($B47,Súpravy!$A$6:$Q$31,3,FALSE),0)</f>
        <v>0</v>
      </c>
      <c r="H47" s="17">
        <f t="shared" si="6"/>
        <v>0</v>
      </c>
      <c r="I47" s="12">
        <f>IFERROR(VLOOKUP($B47,Súpravy!$A$6:$Q$31,9,FALSE),0)</f>
        <v>0</v>
      </c>
      <c r="J47" s="12">
        <f>IFERROR(VLOOKUP($B47,Súpravy!$A$6:$Q$31,12,FALSE),0)</f>
        <v>0</v>
      </c>
      <c r="K47" s="12">
        <f>IFERROR(VLOOKUP($B47,Súpravy!$A$6:$Q$31,17,FALSE),0)</f>
        <v>0</v>
      </c>
      <c r="L47" s="12">
        <f>IFERROR(VLOOKUP($B47,Súpravy!$A$6:$Q$31,18,FALSE),0)</f>
        <v>0</v>
      </c>
      <c r="M47" s="17">
        <f t="shared" si="8"/>
        <v>0</v>
      </c>
      <c r="N47" s="93">
        <f>IF(OR(C47=53.328,M47&lt;=80%),0,D47*(Ocenenie!$E$56*(M47)*(M47)*(M47)+Ocenenie!$E$57*(M47)*(M47)+Ocenenie!$E$58*(M47)-Ocenenie!$E$60))</f>
        <v>0</v>
      </c>
    </row>
    <row r="48" spans="1:14" x14ac:dyDescent="0.25">
      <c r="A48" s="1" t="str">
        <f>Grafikon!$M37</f>
        <v>Os 4306</v>
      </c>
      <c r="B48" s="199"/>
      <c r="C48" s="2">
        <f>Grafikon!$O37</f>
        <v>46.847000000000001</v>
      </c>
      <c r="D48" s="3">
        <f>Grafikon!$R37</f>
        <v>200</v>
      </c>
      <c r="E48" s="10">
        <f>IFERROR(VLOOKUP($B48,Súpravy!$A$6:$Q$31,6,FALSE),0)</f>
        <v>0</v>
      </c>
      <c r="F48" s="31">
        <f t="shared" si="7"/>
        <v>0</v>
      </c>
      <c r="G48" s="10">
        <f>IFERROR(VLOOKUP($B48,Súpravy!$A$6:$Q$31,3,FALSE),0)</f>
        <v>0</v>
      </c>
      <c r="H48" s="17">
        <f t="shared" si="6"/>
        <v>0</v>
      </c>
      <c r="I48" s="12">
        <f>IFERROR(VLOOKUP($B48,Súpravy!$A$6:$Q$31,9,FALSE),0)</f>
        <v>0</v>
      </c>
      <c r="J48" s="12">
        <f>IFERROR(VLOOKUP($B48,Súpravy!$A$6:$Q$31,12,FALSE),0)</f>
        <v>0</v>
      </c>
      <c r="K48" s="12">
        <f>IFERROR(VLOOKUP($B48,Súpravy!$A$6:$Q$31,17,FALSE),0)</f>
        <v>0</v>
      </c>
      <c r="L48" s="12">
        <f>IFERROR(VLOOKUP($B48,Súpravy!$A$6:$Q$31,18,FALSE),0)</f>
        <v>0</v>
      </c>
      <c r="M48" s="17">
        <f t="shared" si="8"/>
        <v>0</v>
      </c>
      <c r="N48" s="93">
        <f>IF(OR(C48=53.328,M48&lt;=80%),0,D48*(Ocenenie!$E$56*(M48)*(M48)*(M48)+Ocenenie!$E$57*(M48)*(M48)+Ocenenie!$E$58*(M48)-Ocenenie!$E$60))</f>
        <v>0</v>
      </c>
    </row>
    <row r="49" spans="1:14" x14ac:dyDescent="0.25">
      <c r="A49" s="1" t="str">
        <f>Grafikon!$M38</f>
        <v>Os 4308</v>
      </c>
      <c r="B49" s="199"/>
      <c r="C49" s="2">
        <f>Grafikon!$O38</f>
        <v>46.847000000000001</v>
      </c>
      <c r="D49" s="3">
        <f>Grafikon!$R38</f>
        <v>100</v>
      </c>
      <c r="E49" s="10">
        <f>IFERROR(VLOOKUP($B49,Súpravy!$A$6:$Q$31,6,FALSE),0)</f>
        <v>0</v>
      </c>
      <c r="F49" s="31">
        <f t="shared" si="7"/>
        <v>0</v>
      </c>
      <c r="G49" s="10">
        <f>IFERROR(VLOOKUP($B49,Súpravy!$A$6:$Q$31,3,FALSE),0)</f>
        <v>0</v>
      </c>
      <c r="H49" s="17">
        <f t="shared" si="6"/>
        <v>0</v>
      </c>
      <c r="I49" s="12">
        <f>IFERROR(VLOOKUP($B49,Súpravy!$A$6:$Q$31,9,FALSE),0)</f>
        <v>0</v>
      </c>
      <c r="J49" s="12">
        <f>IFERROR(VLOOKUP($B49,Súpravy!$A$6:$Q$31,12,FALSE),0)</f>
        <v>0</v>
      </c>
      <c r="K49" s="12">
        <f>IFERROR(VLOOKUP($B49,Súpravy!$A$6:$Q$31,17,FALSE),0)</f>
        <v>0</v>
      </c>
      <c r="L49" s="12">
        <f>IFERROR(VLOOKUP($B49,Súpravy!$A$6:$Q$31,18,FALSE),0)</f>
        <v>0</v>
      </c>
      <c r="M49" s="17">
        <f t="shared" si="8"/>
        <v>0</v>
      </c>
      <c r="N49" s="93">
        <f>IF(OR(C49=53.328,M49&lt;=80%),0,D49*(Ocenenie!$E$56*(M49)*(M49)*(M49)+Ocenenie!$E$57*(M49)*(M49)+Ocenenie!$E$58*(M49)-Ocenenie!$E$60))</f>
        <v>0</v>
      </c>
    </row>
    <row r="50" spans="1:14" x14ac:dyDescent="0.25">
      <c r="A50" s="1" t="str">
        <f>Grafikon!$M39</f>
        <v>Zr 1768</v>
      </c>
      <c r="B50" s="199"/>
      <c r="C50" s="2">
        <f>Grafikon!$O39</f>
        <v>100.175</v>
      </c>
      <c r="D50" s="3">
        <f>Grafikon!$R39</f>
        <v>100</v>
      </c>
      <c r="E50" s="10">
        <f>IFERROR(VLOOKUP($B50,Súpravy!$A$6:$Q$31,6,FALSE),0)</f>
        <v>0</v>
      </c>
      <c r="F50" s="31">
        <f t="shared" si="7"/>
        <v>0</v>
      </c>
      <c r="G50" s="10">
        <f>IFERROR(VLOOKUP($B50,Súpravy!$A$6:$Q$31,3,FALSE),0)</f>
        <v>0</v>
      </c>
      <c r="H50" s="17">
        <f t="shared" si="6"/>
        <v>0</v>
      </c>
      <c r="I50" s="12">
        <f>IFERROR(VLOOKUP($B50,Súpravy!$A$6:$Q$31,9,FALSE),0)</f>
        <v>0</v>
      </c>
      <c r="J50" s="12">
        <f>IFERROR(VLOOKUP($B50,Súpravy!$A$6:$Q$31,12,FALSE),0)</f>
        <v>0</v>
      </c>
      <c r="K50" s="12">
        <f>IFERROR(VLOOKUP($B50,Súpravy!$A$6:$Q$31,17,FALSE),0)</f>
        <v>0</v>
      </c>
      <c r="L50" s="12">
        <f>IFERROR(VLOOKUP($B50,Súpravy!$A$6:$Q$31,18,FALSE),0)</f>
        <v>0</v>
      </c>
      <c r="M50" s="17">
        <f t="shared" si="8"/>
        <v>0</v>
      </c>
      <c r="N50" s="93">
        <f>IF(OR(C50=53.328,M50&lt;=80%),0,D50*(Ocenenie!$E$56*(M50)*(M50)*(M50)+Ocenenie!$E$57*(M50)*(M50)+Ocenenie!$E$58*(M50)-Ocenenie!$E$60))</f>
        <v>0</v>
      </c>
    </row>
    <row r="51" spans="1:14" x14ac:dyDescent="0.25">
      <c r="A51" s="1" t="str">
        <f>Grafikon!$M40</f>
        <v>Os 4310</v>
      </c>
      <c r="B51" s="199"/>
      <c r="C51" s="2">
        <f>Grafikon!$O40</f>
        <v>46.847000000000001</v>
      </c>
      <c r="D51" s="3">
        <f>Grafikon!$R40</f>
        <v>100</v>
      </c>
      <c r="E51" s="10">
        <f>IFERROR(VLOOKUP($B51,Súpravy!$A$6:$Q$31,6,FALSE),0)</f>
        <v>0</v>
      </c>
      <c r="F51" s="31">
        <f t="shared" si="7"/>
        <v>0</v>
      </c>
      <c r="G51" s="10">
        <f>IFERROR(VLOOKUP($B51,Súpravy!$A$6:$Q$31,3,FALSE),0)</f>
        <v>0</v>
      </c>
      <c r="H51" s="17">
        <f t="shared" si="6"/>
        <v>0</v>
      </c>
      <c r="I51" s="12">
        <f>IFERROR(VLOOKUP($B51,Súpravy!$A$6:$Q$31,9,FALSE),0)</f>
        <v>0</v>
      </c>
      <c r="J51" s="12">
        <f>IFERROR(VLOOKUP($B51,Súpravy!$A$6:$Q$31,12,FALSE),0)</f>
        <v>0</v>
      </c>
      <c r="K51" s="12">
        <f>IFERROR(VLOOKUP($B51,Súpravy!$A$6:$Q$31,17,FALSE),0)</f>
        <v>0</v>
      </c>
      <c r="L51" s="12">
        <f>IFERROR(VLOOKUP($B51,Súpravy!$A$6:$Q$31,18,FALSE),0)</f>
        <v>0</v>
      </c>
      <c r="M51" s="17">
        <f t="shared" si="8"/>
        <v>0</v>
      </c>
      <c r="N51" s="93">
        <f>IF(OR(C51=53.328,M51&lt;=80%),0,D51*(Ocenenie!$E$56*(M51)*(M51)*(M51)+Ocenenie!$E$57*(M51)*(M51)+Ocenenie!$E$58*(M51)-Ocenenie!$E$60))</f>
        <v>0</v>
      </c>
    </row>
    <row r="52" spans="1:14" x14ac:dyDescent="0.25">
      <c r="A52" s="1" t="str">
        <f>Grafikon!$M41</f>
        <v>Os 4312</v>
      </c>
      <c r="B52" s="199"/>
      <c r="C52" s="2">
        <f>Grafikon!$O41</f>
        <v>46.847000000000001</v>
      </c>
      <c r="D52" s="3">
        <f>Grafikon!$R41</f>
        <v>100</v>
      </c>
      <c r="E52" s="10">
        <f>IFERROR(VLOOKUP($B52,Súpravy!$A$6:$Q$31,6,FALSE),0)</f>
        <v>0</v>
      </c>
      <c r="F52" s="31">
        <f t="shared" si="7"/>
        <v>0</v>
      </c>
      <c r="G52" s="10">
        <f>IFERROR(VLOOKUP($B52,Súpravy!$A$6:$Q$31,3,FALSE),0)</f>
        <v>0</v>
      </c>
      <c r="H52" s="17">
        <f t="shared" si="6"/>
        <v>0</v>
      </c>
      <c r="I52" s="12">
        <f>IFERROR(VLOOKUP($B52,Súpravy!$A$6:$Q$31,9,FALSE),0)</f>
        <v>0</v>
      </c>
      <c r="J52" s="12">
        <f>IFERROR(VLOOKUP($B52,Súpravy!$A$6:$Q$31,12,FALSE),0)</f>
        <v>0</v>
      </c>
      <c r="K52" s="12">
        <f>IFERROR(VLOOKUP($B52,Súpravy!$A$6:$Q$31,17,FALSE),0)</f>
        <v>0</v>
      </c>
      <c r="L52" s="12">
        <f>IFERROR(VLOOKUP($B52,Súpravy!$A$6:$Q$31,18,FALSE),0)</f>
        <v>0</v>
      </c>
      <c r="M52" s="17">
        <f t="shared" si="8"/>
        <v>0</v>
      </c>
      <c r="N52" s="93">
        <f>IF(OR(C52=53.328,M52&lt;=80%),0,D52*(Ocenenie!$E$56*(M52)*(M52)*(M52)+Ocenenie!$E$57*(M52)*(M52)+Ocenenie!$E$58*(M52)-Ocenenie!$E$60))</f>
        <v>0</v>
      </c>
    </row>
    <row r="53" spans="1:14" x14ac:dyDescent="0.25">
      <c r="A53" s="1" t="str">
        <f>Grafikon!$M42</f>
        <v>Zr 1772</v>
      </c>
      <c r="B53" s="199"/>
      <c r="C53" s="2">
        <f>Grafikon!$O42</f>
        <v>100.175</v>
      </c>
      <c r="D53" s="3">
        <f>Grafikon!$R42</f>
        <v>100</v>
      </c>
      <c r="E53" s="10">
        <f>IFERROR(VLOOKUP($B53,Súpravy!$A$6:$Q$31,6,FALSE),0)</f>
        <v>0</v>
      </c>
      <c r="F53" s="31">
        <f t="shared" si="7"/>
        <v>0</v>
      </c>
      <c r="G53" s="10">
        <f>IFERROR(VLOOKUP($B53,Súpravy!$A$6:$Q$31,3,FALSE),0)</f>
        <v>0</v>
      </c>
      <c r="H53" s="17">
        <f t="shared" si="6"/>
        <v>0</v>
      </c>
      <c r="I53" s="12">
        <f>IFERROR(VLOOKUP($B53,Súpravy!$A$6:$Q$31,9,FALSE),0)</f>
        <v>0</v>
      </c>
      <c r="J53" s="12">
        <f>IFERROR(VLOOKUP($B53,Súpravy!$A$6:$Q$31,12,FALSE),0)</f>
        <v>0</v>
      </c>
      <c r="K53" s="12">
        <f>IFERROR(VLOOKUP($B53,Súpravy!$A$6:$Q$31,17,FALSE),0)</f>
        <v>0</v>
      </c>
      <c r="L53" s="12">
        <f>IFERROR(VLOOKUP($B53,Súpravy!$A$6:$Q$31,18,FALSE),0)</f>
        <v>0</v>
      </c>
      <c r="M53" s="17">
        <f t="shared" si="8"/>
        <v>0</v>
      </c>
      <c r="N53" s="93">
        <f>IF(OR(C53=53.328,M53&lt;=80%),0,D53*(Ocenenie!$E$56*(M53)*(M53)*(M53)+Ocenenie!$E$57*(M53)*(M53)+Ocenenie!$E$58*(M53)-Ocenenie!$E$60))</f>
        <v>0</v>
      </c>
    </row>
    <row r="54" spans="1:14" x14ac:dyDescent="0.25">
      <c r="A54" s="1" t="str">
        <f>Grafikon!$M43</f>
        <v>Os 4314</v>
      </c>
      <c r="B54" s="199"/>
      <c r="C54" s="2">
        <f>Grafikon!$O43</f>
        <v>46.847000000000001</v>
      </c>
      <c r="D54" s="3">
        <f>Grafikon!$R43</f>
        <v>100</v>
      </c>
      <c r="E54" s="10">
        <f>IFERROR(VLOOKUP($B54,Súpravy!$A$6:$Q$31,6,FALSE),0)</f>
        <v>0</v>
      </c>
      <c r="F54" s="31">
        <f t="shared" si="7"/>
        <v>0</v>
      </c>
      <c r="G54" s="10">
        <f>IFERROR(VLOOKUP($B54,Súpravy!$A$6:$Q$31,3,FALSE),0)</f>
        <v>0</v>
      </c>
      <c r="H54" s="17">
        <f t="shared" si="6"/>
        <v>0</v>
      </c>
      <c r="I54" s="12">
        <f>IFERROR(VLOOKUP($B54,Súpravy!$A$6:$Q$31,9,FALSE),0)</f>
        <v>0</v>
      </c>
      <c r="J54" s="12">
        <f>IFERROR(VLOOKUP($B54,Súpravy!$A$6:$Q$31,12,FALSE),0)</f>
        <v>0</v>
      </c>
      <c r="K54" s="12">
        <f>IFERROR(VLOOKUP($B54,Súpravy!$A$6:$Q$31,17,FALSE),0)</f>
        <v>0</v>
      </c>
      <c r="L54" s="12">
        <f>IFERROR(VLOOKUP($B54,Súpravy!$A$6:$Q$31,18,FALSE),0)</f>
        <v>0</v>
      </c>
      <c r="M54" s="17">
        <f t="shared" si="8"/>
        <v>0</v>
      </c>
      <c r="N54" s="93">
        <f>IF(OR(C54=53.328,M54&lt;=80%),0,D54*(Ocenenie!$E$56*(M54)*(M54)*(M54)+Ocenenie!$E$57*(M54)*(M54)+Ocenenie!$E$58*(M54)-Ocenenie!$E$60))</f>
        <v>0</v>
      </c>
    </row>
    <row r="55" spans="1:14" x14ac:dyDescent="0.25">
      <c r="A55" s="1" t="str">
        <f>Grafikon!$M44</f>
        <v>Os 4316</v>
      </c>
      <c r="B55" s="199"/>
      <c r="C55" s="2">
        <f>Grafikon!$O44</f>
        <v>46.847000000000001</v>
      </c>
      <c r="D55" s="3">
        <f>Grafikon!$R44</f>
        <v>100</v>
      </c>
      <c r="E55" s="10">
        <f>IFERROR(VLOOKUP($B55,Súpravy!$A$6:$Q$31,6,FALSE),0)</f>
        <v>0</v>
      </c>
      <c r="F55" s="31">
        <f t="shared" si="7"/>
        <v>0</v>
      </c>
      <c r="G55" s="10">
        <f>IFERROR(VLOOKUP($B55,Súpravy!$A$6:$Q$31,3,FALSE),0)</f>
        <v>0</v>
      </c>
      <c r="H55" s="17">
        <f t="shared" si="6"/>
        <v>0</v>
      </c>
      <c r="I55" s="12">
        <f>IFERROR(VLOOKUP($B55,Súpravy!$A$6:$Q$31,9,FALSE),0)</f>
        <v>0</v>
      </c>
      <c r="J55" s="12">
        <f>IFERROR(VLOOKUP($B55,Súpravy!$A$6:$Q$31,12,FALSE),0)</f>
        <v>0</v>
      </c>
      <c r="K55" s="12">
        <f>IFERROR(VLOOKUP($B55,Súpravy!$A$6:$Q$31,17,FALSE),0)</f>
        <v>0</v>
      </c>
      <c r="L55" s="12">
        <f>IFERROR(VLOOKUP($B55,Súpravy!$A$6:$Q$31,18,FALSE),0)</f>
        <v>0</v>
      </c>
      <c r="M55" s="17">
        <f t="shared" si="8"/>
        <v>0</v>
      </c>
      <c r="N55" s="93">
        <f>IF(OR(C55=53.328,M55&lt;=80%),0,D55*(Ocenenie!$E$56*(M55)*(M55)*(M55)+Ocenenie!$E$57*(M55)*(M55)+Ocenenie!$E$58*(M55)-Ocenenie!$E$60))</f>
        <v>0</v>
      </c>
    </row>
    <row r="56" spans="1:14" x14ac:dyDescent="0.25">
      <c r="A56" s="1" t="str">
        <f>Grafikon!$M45</f>
        <v>Zr 1776</v>
      </c>
      <c r="B56" s="199"/>
      <c r="C56" s="2">
        <f>Grafikon!$O45</f>
        <v>100.175</v>
      </c>
      <c r="D56" s="3">
        <f>Grafikon!$R45</f>
        <v>100</v>
      </c>
      <c r="E56" s="10">
        <f>IFERROR(VLOOKUP($B56,Súpravy!$A$6:$Q$31,6,FALSE),0)</f>
        <v>0</v>
      </c>
      <c r="F56" s="31">
        <f t="shared" si="7"/>
        <v>0</v>
      </c>
      <c r="G56" s="10">
        <f>IFERROR(VLOOKUP($B56,Súpravy!$A$6:$Q$31,3,FALSE),0)</f>
        <v>0</v>
      </c>
      <c r="H56" s="17">
        <f t="shared" si="6"/>
        <v>0</v>
      </c>
      <c r="I56" s="12">
        <f>IFERROR(VLOOKUP($B56,Súpravy!$A$6:$Q$31,9,FALSE),0)</f>
        <v>0</v>
      </c>
      <c r="J56" s="12">
        <f>IFERROR(VLOOKUP($B56,Súpravy!$A$6:$Q$31,12,FALSE),0)</f>
        <v>0</v>
      </c>
      <c r="K56" s="12">
        <f>IFERROR(VLOOKUP($B56,Súpravy!$A$6:$Q$31,17,FALSE),0)</f>
        <v>0</v>
      </c>
      <c r="L56" s="12">
        <f>IFERROR(VLOOKUP($B56,Súpravy!$A$6:$Q$31,18,FALSE),0)</f>
        <v>0</v>
      </c>
      <c r="M56" s="17">
        <f t="shared" si="8"/>
        <v>0</v>
      </c>
      <c r="N56" s="93">
        <f>IF(OR(C56=53.328,M56&lt;=80%),0,D56*(Ocenenie!$E$56*(M56)*(M56)*(M56)+Ocenenie!$E$57*(M56)*(M56)+Ocenenie!$E$58*(M56)-Ocenenie!$E$60))</f>
        <v>0</v>
      </c>
    </row>
    <row r="57" spans="1:14" x14ac:dyDescent="0.25">
      <c r="A57" s="1" t="str">
        <f>Grafikon!$M46</f>
        <v>Os 4318</v>
      </c>
      <c r="B57" s="199"/>
      <c r="C57" s="2">
        <f>Grafikon!$O46</f>
        <v>46.847000000000001</v>
      </c>
      <c r="D57" s="3">
        <f>Grafikon!$R46</f>
        <v>100</v>
      </c>
      <c r="E57" s="10">
        <f>IFERROR(VLOOKUP($B57,Súpravy!$A$6:$Q$31,6,FALSE),0)</f>
        <v>0</v>
      </c>
      <c r="F57" s="31">
        <f t="shared" si="7"/>
        <v>0</v>
      </c>
      <c r="G57" s="10">
        <f>IFERROR(VLOOKUP($B57,Súpravy!$A$6:$Q$31,3,FALSE),0)</f>
        <v>0</v>
      </c>
      <c r="H57" s="17">
        <f t="shared" si="6"/>
        <v>0</v>
      </c>
      <c r="I57" s="12">
        <f>IFERROR(VLOOKUP($B57,Súpravy!$A$6:$Q$31,9,FALSE),0)</f>
        <v>0</v>
      </c>
      <c r="J57" s="12">
        <f>IFERROR(VLOOKUP($B57,Súpravy!$A$6:$Q$31,12,FALSE),0)</f>
        <v>0</v>
      </c>
      <c r="K57" s="12">
        <f>IFERROR(VLOOKUP($B57,Súpravy!$A$6:$Q$31,17,FALSE),0)</f>
        <v>0</v>
      </c>
      <c r="L57" s="12">
        <f>IFERROR(VLOOKUP($B57,Súpravy!$A$6:$Q$31,18,FALSE),0)</f>
        <v>0</v>
      </c>
      <c r="M57" s="17">
        <f t="shared" si="8"/>
        <v>0</v>
      </c>
      <c r="N57" s="93">
        <f>IF(OR(C57=53.328,M57&lt;=80%),0,D57*(Ocenenie!$E$56*(M57)*(M57)*(M57)+Ocenenie!$E$57*(M57)*(M57)+Ocenenie!$E$58*(M57)-Ocenenie!$E$60))</f>
        <v>0</v>
      </c>
    </row>
    <row r="58" spans="1:14" x14ac:dyDescent="0.25">
      <c r="A58" s="1" t="str">
        <f>Grafikon!$M47</f>
        <v>Os 4320</v>
      </c>
      <c r="B58" s="199"/>
      <c r="C58" s="2">
        <f>Grafikon!$O47</f>
        <v>46.847000000000001</v>
      </c>
      <c r="D58" s="3">
        <f>Grafikon!$R47</f>
        <v>100</v>
      </c>
      <c r="E58" s="10">
        <f>IFERROR(VLOOKUP($B58,Súpravy!$A$6:$Q$31,6,FALSE),0)</f>
        <v>0</v>
      </c>
      <c r="F58" s="31">
        <f t="shared" si="7"/>
        <v>0</v>
      </c>
      <c r="G58" s="10">
        <f>IFERROR(VLOOKUP($B58,Súpravy!$A$6:$Q$31,3,FALSE),0)</f>
        <v>0</v>
      </c>
      <c r="H58" s="17">
        <f t="shared" si="6"/>
        <v>0</v>
      </c>
      <c r="I58" s="12">
        <f>IFERROR(VLOOKUP($B58,Súpravy!$A$6:$Q$31,9,FALSE),0)</f>
        <v>0</v>
      </c>
      <c r="J58" s="12">
        <f>IFERROR(VLOOKUP($B58,Súpravy!$A$6:$Q$31,12,FALSE),0)</f>
        <v>0</v>
      </c>
      <c r="K58" s="12">
        <f>IFERROR(VLOOKUP($B58,Súpravy!$A$6:$Q$31,17,FALSE),0)</f>
        <v>0</v>
      </c>
      <c r="L58" s="12">
        <f>IFERROR(VLOOKUP($B58,Súpravy!$A$6:$Q$31,18,FALSE),0)</f>
        <v>0</v>
      </c>
      <c r="M58" s="17">
        <f t="shared" si="8"/>
        <v>0</v>
      </c>
      <c r="N58" s="93">
        <f>IF(OR(C58=53.328,M58&lt;=80%),0,D58*(Ocenenie!$E$56*(M58)*(M58)*(M58)+Ocenenie!$E$57*(M58)*(M58)+Ocenenie!$E$58*(M58)-Ocenenie!$E$60))</f>
        <v>0</v>
      </c>
    </row>
    <row r="59" spans="1:14" x14ac:dyDescent="0.25">
      <c r="A59" s="1" t="str">
        <f>Grafikon!$M48</f>
        <v>Zr 1780</v>
      </c>
      <c r="B59" s="199"/>
      <c r="C59" s="2">
        <f>Grafikon!$O48</f>
        <v>100.175</v>
      </c>
      <c r="D59" s="3">
        <f>Grafikon!$R48</f>
        <v>100</v>
      </c>
      <c r="E59" s="10">
        <f>IFERROR(VLOOKUP($B59,Súpravy!$A$6:$Q$31,6,FALSE),0)</f>
        <v>0</v>
      </c>
      <c r="F59" s="31">
        <f t="shared" si="7"/>
        <v>0</v>
      </c>
      <c r="G59" s="10">
        <f>IFERROR(VLOOKUP($B59,Súpravy!$A$6:$Q$31,3,FALSE),0)</f>
        <v>0</v>
      </c>
      <c r="H59" s="17">
        <f t="shared" si="6"/>
        <v>0</v>
      </c>
      <c r="I59" s="12">
        <f>IFERROR(VLOOKUP($B59,Súpravy!$A$6:$Q$31,9,FALSE),0)</f>
        <v>0</v>
      </c>
      <c r="J59" s="12">
        <f>IFERROR(VLOOKUP($B59,Súpravy!$A$6:$Q$31,12,FALSE),0)</f>
        <v>0</v>
      </c>
      <c r="K59" s="12">
        <f>IFERROR(VLOOKUP($B59,Súpravy!$A$6:$Q$31,17,FALSE),0)</f>
        <v>0</v>
      </c>
      <c r="L59" s="12">
        <f>IFERROR(VLOOKUP($B59,Súpravy!$A$6:$Q$31,18,FALSE),0)</f>
        <v>0</v>
      </c>
      <c r="M59" s="17">
        <f t="shared" si="8"/>
        <v>0</v>
      </c>
      <c r="N59" s="93">
        <f>IF(OR(C59=53.328,M59&lt;=80%),0,D59*(Ocenenie!$E$56*(M59)*(M59)*(M59)+Ocenenie!$E$57*(M59)*(M59)+Ocenenie!$E$58*(M59)-Ocenenie!$E$60))</f>
        <v>0</v>
      </c>
    </row>
    <row r="60" spans="1:14" x14ac:dyDescent="0.25">
      <c r="A60" s="1" t="str">
        <f>Grafikon!$M49</f>
        <v>Os 4322</v>
      </c>
      <c r="B60" s="199"/>
      <c r="C60" s="2">
        <f>Grafikon!$O49</f>
        <v>46.847000000000001</v>
      </c>
      <c r="D60" s="3">
        <f>Grafikon!$R49</f>
        <v>200</v>
      </c>
      <c r="E60" s="10">
        <f>IFERROR(VLOOKUP($B60,Súpravy!$A$6:$Q$31,6,FALSE),0)</f>
        <v>0</v>
      </c>
      <c r="F60" s="31">
        <f t="shared" si="7"/>
        <v>0</v>
      </c>
      <c r="G60" s="10">
        <f>IFERROR(VLOOKUP($B60,Súpravy!$A$6:$Q$31,3,FALSE),0)</f>
        <v>0</v>
      </c>
      <c r="H60" s="17">
        <f t="shared" si="6"/>
        <v>0</v>
      </c>
      <c r="I60" s="12">
        <f>IFERROR(VLOOKUP($B60,Súpravy!$A$6:$Q$31,9,FALSE),0)</f>
        <v>0</v>
      </c>
      <c r="J60" s="12">
        <f>IFERROR(VLOOKUP($B60,Súpravy!$A$6:$Q$31,12,FALSE),0)</f>
        <v>0</v>
      </c>
      <c r="K60" s="12">
        <f>IFERROR(VLOOKUP($B60,Súpravy!$A$6:$Q$31,17,FALSE),0)</f>
        <v>0</v>
      </c>
      <c r="L60" s="12">
        <f>IFERROR(VLOOKUP($B60,Súpravy!$A$6:$Q$31,18,FALSE),0)</f>
        <v>0</v>
      </c>
      <c r="M60" s="17">
        <f t="shared" si="8"/>
        <v>0</v>
      </c>
      <c r="N60" s="93">
        <f>IF(OR(C60=53.328,M60&lt;=80%),0,D60*(Ocenenie!$E$56*(M60)*(M60)*(M60)+Ocenenie!$E$57*(M60)*(M60)+Ocenenie!$E$58*(M60)-Ocenenie!$E$60))</f>
        <v>0</v>
      </c>
    </row>
    <row r="61" spans="1:14" x14ac:dyDescent="0.25">
      <c r="A61" s="1" t="str">
        <f>Grafikon!$M50</f>
        <v>Os 4324</v>
      </c>
      <c r="B61" s="199"/>
      <c r="C61" s="2">
        <f>Grafikon!$O50</f>
        <v>46.847000000000001</v>
      </c>
      <c r="D61" s="3">
        <f>Grafikon!$R50</f>
        <v>100</v>
      </c>
      <c r="E61" s="10">
        <f>IFERROR(VLOOKUP($B61,Súpravy!$A$6:$Q$31,6,FALSE),0)</f>
        <v>0</v>
      </c>
      <c r="F61" s="31">
        <f t="shared" si="7"/>
        <v>0</v>
      </c>
      <c r="G61" s="10">
        <f>IFERROR(VLOOKUP($B61,Súpravy!$A$6:$Q$31,3,FALSE),0)</f>
        <v>0</v>
      </c>
      <c r="H61" s="17">
        <f t="shared" si="6"/>
        <v>0</v>
      </c>
      <c r="I61" s="12">
        <f>IFERROR(VLOOKUP($B61,Súpravy!$A$6:$Q$31,9,FALSE),0)</f>
        <v>0</v>
      </c>
      <c r="J61" s="12">
        <f>IFERROR(VLOOKUP($B61,Súpravy!$A$6:$Q$31,12,FALSE),0)</f>
        <v>0</v>
      </c>
      <c r="K61" s="12">
        <f>IFERROR(VLOOKUP($B61,Súpravy!$A$6:$Q$31,17,FALSE),0)</f>
        <v>0</v>
      </c>
      <c r="L61" s="12">
        <f>IFERROR(VLOOKUP($B61,Súpravy!$A$6:$Q$31,18,FALSE),0)</f>
        <v>0</v>
      </c>
      <c r="M61" s="17">
        <f t="shared" si="8"/>
        <v>0</v>
      </c>
      <c r="N61" s="93">
        <f>IF(OR(C61=53.328,M61&lt;=80%),0,D61*(Ocenenie!$E$56*(M61)*(M61)*(M61)+Ocenenie!$E$57*(M61)*(M61)+Ocenenie!$E$58*(M61)-Ocenenie!$E$60))</f>
        <v>0</v>
      </c>
    </row>
    <row r="62" spans="1:14" x14ac:dyDescent="0.25">
      <c r="A62" s="1" t="str">
        <f>Grafikon!$M51</f>
        <v>Zr 1784</v>
      </c>
      <c r="B62" s="199"/>
      <c r="C62" s="2">
        <f>Grafikon!$O51</f>
        <v>100.175</v>
      </c>
      <c r="D62" s="3">
        <f>Grafikon!$R51</f>
        <v>200</v>
      </c>
      <c r="E62" s="10">
        <f>IFERROR(VLOOKUP($B62,Súpravy!$A$6:$Q$31,6,FALSE),0)</f>
        <v>0</v>
      </c>
      <c r="F62" s="31">
        <f t="shared" si="7"/>
        <v>0</v>
      </c>
      <c r="G62" s="10">
        <f>IFERROR(VLOOKUP($B62,Súpravy!$A$6:$Q$31,3,FALSE),0)</f>
        <v>0</v>
      </c>
      <c r="H62" s="17">
        <f t="shared" si="6"/>
        <v>0</v>
      </c>
      <c r="I62" s="12">
        <f>IFERROR(VLOOKUP($B62,Súpravy!$A$6:$Q$31,9,FALSE),0)</f>
        <v>0</v>
      </c>
      <c r="J62" s="12">
        <f>IFERROR(VLOOKUP($B62,Súpravy!$A$6:$Q$31,12,FALSE),0)</f>
        <v>0</v>
      </c>
      <c r="K62" s="12">
        <f>IFERROR(VLOOKUP($B62,Súpravy!$A$6:$Q$31,17,FALSE),0)</f>
        <v>0</v>
      </c>
      <c r="L62" s="12">
        <f>IFERROR(VLOOKUP($B62,Súpravy!$A$6:$Q$31,18,FALSE),0)</f>
        <v>0</v>
      </c>
      <c r="M62" s="17">
        <f t="shared" si="8"/>
        <v>0</v>
      </c>
      <c r="N62" s="93">
        <f>IF(OR(C62=53.328,M62&lt;=80%),0,D62*(Ocenenie!$E$56*(M62)*(M62)*(M62)+Ocenenie!$E$57*(M62)*(M62)+Ocenenie!$E$58*(M62)-Ocenenie!$E$60))</f>
        <v>0</v>
      </c>
    </row>
    <row r="63" spans="1:14" x14ac:dyDescent="0.25">
      <c r="A63" s="1" t="str">
        <f>Grafikon!$M52</f>
        <v>Os 4326</v>
      </c>
      <c r="B63" s="199"/>
      <c r="C63" s="2">
        <f>Grafikon!$O52</f>
        <v>46.847000000000001</v>
      </c>
      <c r="D63" s="3">
        <f>Grafikon!$R52</f>
        <v>100</v>
      </c>
      <c r="E63" s="10">
        <f>IFERROR(VLOOKUP($B63,Súpravy!$A$6:$Q$31,6,FALSE),0)</f>
        <v>0</v>
      </c>
      <c r="F63" s="31">
        <f t="shared" si="7"/>
        <v>0</v>
      </c>
      <c r="G63" s="10">
        <f>IFERROR(VLOOKUP($B63,Súpravy!$A$6:$Q$31,3,FALSE),0)</f>
        <v>0</v>
      </c>
      <c r="H63" s="17">
        <f t="shared" si="6"/>
        <v>0</v>
      </c>
      <c r="I63" s="12">
        <f>IFERROR(VLOOKUP($B63,Súpravy!$A$6:$Q$31,9,FALSE),0)</f>
        <v>0</v>
      </c>
      <c r="J63" s="12">
        <f>IFERROR(VLOOKUP($B63,Súpravy!$A$6:$Q$31,12,FALSE),0)</f>
        <v>0</v>
      </c>
      <c r="K63" s="12">
        <f>IFERROR(VLOOKUP($B63,Súpravy!$A$6:$Q$31,17,FALSE),0)</f>
        <v>0</v>
      </c>
      <c r="L63" s="12">
        <f>IFERROR(VLOOKUP($B63,Súpravy!$A$6:$Q$31,18,FALSE),0)</f>
        <v>0</v>
      </c>
      <c r="M63" s="17">
        <f t="shared" si="8"/>
        <v>0</v>
      </c>
      <c r="N63" s="93">
        <f>IF(OR(C63=53.328,M63&lt;=80%),0,D63*(Ocenenie!$E$56*(M63)*(M63)*(M63)+Ocenenie!$E$57*(M63)*(M63)+Ocenenie!$E$58*(M63)-Ocenenie!$E$60))</f>
        <v>0</v>
      </c>
    </row>
    <row r="64" spans="1:14" x14ac:dyDescent="0.25">
      <c r="A64" s="1" t="str">
        <f>Grafikon!$M53</f>
        <v>Os 4328</v>
      </c>
      <c r="B64" s="199"/>
      <c r="C64" s="2">
        <f>Grafikon!$O53</f>
        <v>46.847000000000001</v>
      </c>
      <c r="D64" s="3">
        <f>Grafikon!$R53</f>
        <v>100</v>
      </c>
      <c r="E64" s="10">
        <f>IFERROR(VLOOKUP($B64,Súpravy!$A$6:$Q$31,6,FALSE),0)</f>
        <v>0</v>
      </c>
      <c r="F64" s="31">
        <f t="shared" si="7"/>
        <v>0</v>
      </c>
      <c r="G64" s="10">
        <f>IFERROR(VLOOKUP($B64,Súpravy!$A$6:$Q$31,3,FALSE),0)</f>
        <v>0</v>
      </c>
      <c r="H64" s="17">
        <f t="shared" si="6"/>
        <v>0</v>
      </c>
      <c r="I64" s="12">
        <f>IFERROR(VLOOKUP($B64,Súpravy!$A$6:$Q$31,9,FALSE),0)</f>
        <v>0</v>
      </c>
      <c r="J64" s="12">
        <f>IFERROR(VLOOKUP($B64,Súpravy!$A$6:$Q$31,12,FALSE),0)</f>
        <v>0</v>
      </c>
      <c r="K64" s="12">
        <f>IFERROR(VLOOKUP($B64,Súpravy!$A$6:$Q$31,17,FALSE),0)</f>
        <v>0</v>
      </c>
      <c r="L64" s="12">
        <f>IFERROR(VLOOKUP($B64,Súpravy!$A$6:$Q$31,18,FALSE),0)</f>
        <v>0</v>
      </c>
      <c r="M64" s="17">
        <f>IFERROR(D64/G64,0)</f>
        <v>0</v>
      </c>
      <c r="N64" s="93">
        <f>IF(OR(C64=53.328,M64&lt;=80%),0,D64*(Ocenenie!$E$56*(M64)*(M64)*(M64)+Ocenenie!$E$57*(M64)*(M64)+Ocenenie!$E$58*(M64)-Ocenenie!$E$60))</f>
        <v>0</v>
      </c>
    </row>
    <row r="65" spans="1:14" x14ac:dyDescent="0.25">
      <c r="A65" s="1" t="str">
        <f>Grafikon!$M54</f>
        <v>Zr 1788</v>
      </c>
      <c r="B65" s="199"/>
      <c r="C65" s="2">
        <f>Grafikon!$O54</f>
        <v>100.175</v>
      </c>
      <c r="D65" s="3">
        <f>Grafikon!$R54</f>
        <v>200</v>
      </c>
      <c r="E65" s="10">
        <f>IFERROR(VLOOKUP($B65,Súpravy!$A$6:$Q$31,6,FALSE),0)</f>
        <v>0</v>
      </c>
      <c r="F65" s="31">
        <f t="shared" si="7"/>
        <v>0</v>
      </c>
      <c r="G65" s="10">
        <f>IFERROR(VLOOKUP($B65,Súpravy!$A$6:$Q$31,3,FALSE),0)</f>
        <v>0</v>
      </c>
      <c r="H65" s="17">
        <f t="shared" si="6"/>
        <v>0</v>
      </c>
      <c r="I65" s="12">
        <f>IFERROR(VLOOKUP($B65,Súpravy!$A$6:$Q$31,9,FALSE),0)</f>
        <v>0</v>
      </c>
      <c r="J65" s="12">
        <f>IFERROR(VLOOKUP($B65,Súpravy!$A$6:$Q$31,12,FALSE),0)</f>
        <v>0</v>
      </c>
      <c r="K65" s="12">
        <f>IFERROR(VLOOKUP($B65,Súpravy!$A$6:$Q$31,17,FALSE),0)</f>
        <v>0</v>
      </c>
      <c r="L65" s="12">
        <f>IFERROR(VLOOKUP($B65,Súpravy!$A$6:$Q$31,18,FALSE),0)</f>
        <v>0</v>
      </c>
      <c r="M65" s="17">
        <f t="shared" si="8"/>
        <v>0</v>
      </c>
      <c r="N65" s="93">
        <f>IF(OR(C65=53.328,M65&lt;=80%),0,D65*(Ocenenie!$E$56*(M65)*(M65)*(M65)+Ocenenie!$E$57*(M65)*(M65)+Ocenenie!$E$58*(M65)-Ocenenie!$E$60))</f>
        <v>0</v>
      </c>
    </row>
    <row r="66" spans="1:14" x14ac:dyDescent="0.25">
      <c r="A66" s="1" t="str">
        <f>Grafikon!$M55</f>
        <v>Os 4330</v>
      </c>
      <c r="B66" s="199"/>
      <c r="C66" s="2">
        <f>Grafikon!$O55</f>
        <v>46.847000000000001</v>
      </c>
      <c r="D66" s="3">
        <f>Grafikon!$R55</f>
        <v>100</v>
      </c>
      <c r="E66" s="10">
        <f>IFERROR(VLOOKUP($B66,Súpravy!$A$6:$Q$31,6,FALSE),0)</f>
        <v>0</v>
      </c>
      <c r="F66" s="31">
        <f t="shared" si="7"/>
        <v>0</v>
      </c>
      <c r="G66" s="10">
        <f>IFERROR(VLOOKUP($B66,Súpravy!$A$6:$Q$31,3,FALSE),0)</f>
        <v>0</v>
      </c>
      <c r="H66" s="17">
        <f t="shared" si="6"/>
        <v>0</v>
      </c>
      <c r="I66" s="12">
        <f>IFERROR(VLOOKUP($B66,Súpravy!$A$6:$Q$31,9,FALSE),0)</f>
        <v>0</v>
      </c>
      <c r="J66" s="12">
        <f>IFERROR(VLOOKUP($B66,Súpravy!$A$6:$Q$31,12,FALSE),0)</f>
        <v>0</v>
      </c>
      <c r="K66" s="12">
        <f>IFERROR(VLOOKUP($B66,Súpravy!$A$6:$Q$31,17,FALSE),0)</f>
        <v>0</v>
      </c>
      <c r="L66" s="12">
        <f>IFERROR(VLOOKUP($B66,Súpravy!$A$6:$Q$31,18,FALSE),0)</f>
        <v>0</v>
      </c>
      <c r="M66" s="17">
        <f t="shared" si="8"/>
        <v>0</v>
      </c>
      <c r="N66" s="93">
        <f>IF(OR(C66=53.328,M66&lt;=80%),0,D66*(Ocenenie!$E$56*(M66)*(M66)*(M66)+Ocenenie!$E$57*(M66)*(M66)+Ocenenie!$E$58*(M66)-Ocenenie!$E$60))</f>
        <v>0</v>
      </c>
    </row>
    <row r="67" spans="1:14" x14ac:dyDescent="0.25">
      <c r="A67" s="1" t="str">
        <f>Grafikon!$M56</f>
        <v>Os 4332</v>
      </c>
      <c r="B67" s="199"/>
      <c r="C67" s="2">
        <f>Grafikon!$O56</f>
        <v>46.847000000000001</v>
      </c>
      <c r="D67" s="3">
        <f>Grafikon!$R56</f>
        <v>100</v>
      </c>
      <c r="E67" s="10">
        <f>IFERROR(VLOOKUP($B67,Súpravy!$A$6:$Q$31,6,FALSE),0)</f>
        <v>0</v>
      </c>
      <c r="F67" s="31">
        <f t="shared" si="7"/>
        <v>0</v>
      </c>
      <c r="G67" s="10">
        <f>IFERROR(VLOOKUP($B67,Súpravy!$A$6:$Q$31,3,FALSE),0)</f>
        <v>0</v>
      </c>
      <c r="H67" s="17">
        <f t="shared" si="6"/>
        <v>0</v>
      </c>
      <c r="I67" s="12">
        <f>IFERROR(VLOOKUP($B67,Súpravy!$A$6:$Q$31,9,FALSE),0)</f>
        <v>0</v>
      </c>
      <c r="J67" s="12">
        <f>IFERROR(VLOOKUP($B67,Súpravy!$A$6:$Q$31,12,FALSE),0)</f>
        <v>0</v>
      </c>
      <c r="K67" s="12">
        <f>IFERROR(VLOOKUP($B67,Súpravy!$A$6:$Q$31,17,FALSE),0)</f>
        <v>0</v>
      </c>
      <c r="L67" s="12">
        <f>IFERROR(VLOOKUP($B67,Súpravy!$A$6:$Q$31,18,FALSE),0)</f>
        <v>0</v>
      </c>
      <c r="M67" s="17">
        <f t="shared" si="8"/>
        <v>0</v>
      </c>
      <c r="N67" s="93">
        <f>IF(OR(C67=53.328,M67&lt;=80%),0,D67*(Ocenenie!$E$56*(M67)*(M67)*(M67)+Ocenenie!$E$57*(M67)*(M67)+Ocenenie!$E$58*(M67)-Ocenenie!$E$60))</f>
        <v>0</v>
      </c>
    </row>
    <row r="68" spans="1:14" x14ac:dyDescent="0.25">
      <c r="A68" s="1" t="str">
        <f>Grafikon!$M57</f>
        <v>Zr 1792</v>
      </c>
      <c r="B68" s="199"/>
      <c r="C68" s="2">
        <f>Grafikon!$O57</f>
        <v>100.175</v>
      </c>
      <c r="D68" s="3">
        <f>Grafikon!$R57</f>
        <v>100</v>
      </c>
      <c r="E68" s="10">
        <f>IFERROR(VLOOKUP($B68,Súpravy!$A$6:$Q$31,6,FALSE),0)</f>
        <v>0</v>
      </c>
      <c r="F68" s="31">
        <f t="shared" si="7"/>
        <v>0</v>
      </c>
      <c r="G68" s="10">
        <f>IFERROR(VLOOKUP($B68,Súpravy!$A$6:$Q$31,3,FALSE),0)</f>
        <v>0</v>
      </c>
      <c r="H68" s="17">
        <f t="shared" si="6"/>
        <v>0</v>
      </c>
      <c r="I68" s="12">
        <f>IFERROR(VLOOKUP($B68,Súpravy!$A$6:$Q$31,9,FALSE),0)</f>
        <v>0</v>
      </c>
      <c r="J68" s="12">
        <f>IFERROR(VLOOKUP($B68,Súpravy!$A$6:$Q$31,12,FALSE),0)</f>
        <v>0</v>
      </c>
      <c r="K68" s="12">
        <f>IFERROR(VLOOKUP($B68,Súpravy!$A$6:$Q$31,17,FALSE),0)</f>
        <v>0</v>
      </c>
      <c r="L68" s="12">
        <f>IFERROR(VLOOKUP($B68,Súpravy!$A$6:$Q$31,18,FALSE),0)</f>
        <v>0</v>
      </c>
      <c r="M68" s="17">
        <f t="shared" si="8"/>
        <v>0</v>
      </c>
      <c r="N68" s="93">
        <f>IF(OR(C68=53.328,M68&lt;=80%),0,D68*(Ocenenie!$E$56*(M68)*(M68)*(M68)+Ocenenie!$E$57*(M68)*(M68)+Ocenenie!$E$58*(M68)-Ocenenie!$E$60))</f>
        <v>0</v>
      </c>
    </row>
    <row r="69" spans="1:14" x14ac:dyDescent="0.25">
      <c r="A69" s="1" t="str">
        <f>Grafikon!$M58</f>
        <v>Os 4336</v>
      </c>
      <c r="B69" s="199"/>
      <c r="C69" s="2">
        <f>Grafikon!$O58</f>
        <v>46.847000000000001</v>
      </c>
      <c r="D69" s="3">
        <f>Grafikon!$R58</f>
        <v>100</v>
      </c>
      <c r="E69" s="10">
        <f>IFERROR(VLOOKUP($B69,Súpravy!$A$6:$Q$31,6,FALSE),0)</f>
        <v>0</v>
      </c>
      <c r="F69" s="31">
        <f t="shared" si="7"/>
        <v>0</v>
      </c>
      <c r="G69" s="10">
        <f>IFERROR(VLOOKUP($B69,Súpravy!$A$6:$Q$31,3,FALSE),0)</f>
        <v>0</v>
      </c>
      <c r="H69" s="17">
        <f t="shared" si="6"/>
        <v>0</v>
      </c>
      <c r="I69" s="12">
        <f>IFERROR(VLOOKUP($B69,Súpravy!$A$6:$Q$31,9,FALSE),0)</f>
        <v>0</v>
      </c>
      <c r="J69" s="12">
        <f>IFERROR(VLOOKUP($B69,Súpravy!$A$6:$Q$31,12,FALSE),0)</f>
        <v>0</v>
      </c>
      <c r="K69" s="12">
        <f>IFERROR(VLOOKUP($B69,Súpravy!$A$6:$Q$31,17,FALSE),0)</f>
        <v>0</v>
      </c>
      <c r="L69" s="12">
        <f>IFERROR(VLOOKUP($B69,Súpravy!$A$6:$Q$31,18,FALSE),0)</f>
        <v>0</v>
      </c>
      <c r="M69" s="17">
        <f t="shared" si="8"/>
        <v>0</v>
      </c>
      <c r="N69" s="93">
        <f>IF(OR(C69=53.328,M69&lt;=80%),0,D69*(Ocenenie!$E$56*(M69)*(M69)*(M69)+Ocenenie!$E$57*(M69)*(M69)+Ocenenie!$E$58*(M69)-Ocenenie!$E$60))</f>
        <v>0</v>
      </c>
    </row>
  </sheetData>
  <sheetProtection password="D97B" sheet="1" objects="1" scenarios="1"/>
  <mergeCells count="14">
    <mergeCell ref="G2:H2"/>
    <mergeCell ref="M2:N2"/>
    <mergeCell ref="M12:N12"/>
    <mergeCell ref="A12:A14"/>
    <mergeCell ref="C12:C13"/>
    <mergeCell ref="D12:D13"/>
    <mergeCell ref="E12:F12"/>
    <mergeCell ref="G12:H12"/>
    <mergeCell ref="B13:B14"/>
    <mergeCell ref="C2:D2"/>
    <mergeCell ref="C3:D3"/>
    <mergeCell ref="C4:C6"/>
    <mergeCell ref="C7:C9"/>
    <mergeCell ref="E2:F2"/>
  </mergeCells>
  <conditionalFormatting sqref="H15:H41 H43:H69">
    <cfRule type="cellIs" dxfId="35" priority="32" operator="lessThan">
      <formula>0.6</formula>
    </cfRule>
    <cfRule type="cellIs" dxfId="34" priority="33" operator="greaterThanOrEqual">
      <formula>0.6</formula>
    </cfRule>
  </conditionalFormatting>
  <conditionalFormatting sqref="M15:M41 M43:M69">
    <cfRule type="colorScale" priority="18">
      <colorScale>
        <cfvo type="num" val="0"/>
        <cfvo type="num" val="1"/>
        <cfvo type="num" val="1.7"/>
        <color rgb="FFC6EFCE"/>
        <color rgb="FFFFFFCC"/>
        <color rgb="FFFFC7CE"/>
      </colorScale>
    </cfRule>
  </conditionalFormatting>
  <conditionalFormatting sqref="N15:N41 N43:N69">
    <cfRule type="colorScale" priority="15">
      <colorScale>
        <cfvo type="num" val="0"/>
        <cfvo type="num" val="3"/>
        <cfvo type="num" val="225"/>
        <color rgb="FFC6EFCE"/>
        <color rgb="FFFFEB84"/>
        <color rgb="FFFFC7CE"/>
      </colorScale>
    </cfRule>
  </conditionalFormatting>
  <conditionalFormatting sqref="F15:F41">
    <cfRule type="cellIs" dxfId="33" priority="12" operator="lessThan">
      <formula>0.95</formula>
    </cfRule>
    <cfRule type="cellIs" dxfId="32" priority="13" operator="greaterThanOrEqual">
      <formula>1</formula>
    </cfRule>
    <cfRule type="cellIs" dxfId="31" priority="14" operator="between">
      <formula>0.95</formula>
      <formula>1</formula>
    </cfRule>
  </conditionalFormatting>
  <conditionalFormatting sqref="F43:F69">
    <cfRule type="cellIs" dxfId="30" priority="9" operator="lessThan">
      <formula>0.95</formula>
    </cfRule>
    <cfRule type="cellIs" dxfId="29" priority="10" operator="greaterThanOrEqual">
      <formula>1</formula>
    </cfRule>
    <cfRule type="cellIs" dxfId="28" priority="11" operator="between">
      <formula>0.95</formula>
      <formula>1</formula>
    </cfRule>
  </conditionalFormatting>
  <conditionalFormatting sqref="E6">
    <cfRule type="containsText" dxfId="27" priority="7" stopIfTrue="1" operator="containsText" text="27/">
      <formula>NOT(ISERROR(SEARCH("27/",E6)))</formula>
    </cfRule>
    <cfRule type="containsText" dxfId="26" priority="8" operator="containsText" text="/27">
      <formula>NOT(ISERROR(SEARCH("/27",E6)))</formula>
    </cfRule>
  </conditionalFormatting>
  <conditionalFormatting sqref="E9:E10">
    <cfRule type="containsText" dxfId="25" priority="5" stopIfTrue="1" operator="containsText" text="27/">
      <formula>NOT(ISERROR(SEARCH("27/",E9)))</formula>
    </cfRule>
    <cfRule type="containsText" dxfId="24" priority="6" operator="containsText" text="/27">
      <formula>NOT(ISERROR(SEARCH("/27",E9)))</formula>
    </cfRule>
  </conditionalFormatting>
  <conditionalFormatting sqref="G6">
    <cfRule type="containsText" dxfId="23" priority="3" stopIfTrue="1" operator="containsText" text="27/">
      <formula>NOT(ISERROR(SEARCH("27/",G6)))</formula>
    </cfRule>
    <cfRule type="containsText" dxfId="22" priority="4" operator="containsText" text="/27">
      <formula>NOT(ISERROR(SEARCH("/27",G6)))</formula>
    </cfRule>
  </conditionalFormatting>
  <conditionalFormatting sqref="G9:G10">
    <cfRule type="containsText" dxfId="21" priority="1" stopIfTrue="1" operator="containsText" text="27/">
      <formula>NOT(ISERROR(SEARCH("27/",G9)))</formula>
    </cfRule>
    <cfRule type="containsText" dxfId="20" priority="2" operator="containsText" text="/27">
      <formula>NOT(ISERROR(SEARCH("/27",G9)))</formula>
    </cfRule>
  </conditionalFormatting>
  <pageMargins left="0.23622047244094491" right="0.23622047244094491" top="0.74803149606299213" bottom="0.74803149606299213" header="0.31496062992125984" footer="0.31496062992125984"/>
  <pageSetup paperSize="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69"/>
  <sheetViews>
    <sheetView view="pageLayout" zoomScaleNormal="100" zoomScaleSheetLayoutView="100" workbookViewId="0">
      <selection activeCell="B15" sqref="B15"/>
    </sheetView>
  </sheetViews>
  <sheetFormatPr defaultColWidth="8.5703125" defaultRowHeight="15" x14ac:dyDescent="0.25"/>
  <cols>
    <col min="1" max="3" width="10.28515625" customWidth="1"/>
    <col min="4" max="10" width="13.28515625" customWidth="1"/>
    <col min="11" max="11" width="14.7109375" customWidth="1"/>
    <col min="12" max="12" width="14.140625" hidden="1" customWidth="1"/>
    <col min="13" max="14" width="12.5703125" hidden="1" customWidth="1"/>
    <col min="15" max="15" width="1.7109375" customWidth="1"/>
  </cols>
  <sheetData>
    <row r="1" spans="1:14" ht="24.75" customHeight="1" x14ac:dyDescent="0.3">
      <c r="A1" s="127" t="s">
        <v>377</v>
      </c>
      <c r="D1" s="209">
        <f>Spoločnosť!$C$10</f>
        <v>0</v>
      </c>
      <c r="I1" s="24" t="s">
        <v>432</v>
      </c>
      <c r="J1" s="24" t="s">
        <v>475</v>
      </c>
    </row>
    <row r="2" spans="1:14" s="13" customFormat="1" ht="18.75" customHeight="1" x14ac:dyDescent="0.25">
      <c r="C2" s="248" t="s">
        <v>133</v>
      </c>
      <c r="D2" s="248"/>
      <c r="E2" s="252" t="s">
        <v>134</v>
      </c>
      <c r="F2" s="253"/>
      <c r="G2" s="252" t="s">
        <v>342</v>
      </c>
      <c r="H2" s="253"/>
      <c r="I2" s="181" t="s">
        <v>6</v>
      </c>
      <c r="J2" s="181" t="s">
        <v>10</v>
      </c>
      <c r="K2" s="181" t="s">
        <v>14</v>
      </c>
      <c r="L2" s="182" t="s">
        <v>12</v>
      </c>
      <c r="M2" s="244" t="s">
        <v>248</v>
      </c>
      <c r="N2" s="245"/>
    </row>
    <row r="3" spans="1:14" x14ac:dyDescent="0.25">
      <c r="C3" s="249" t="s">
        <v>428</v>
      </c>
      <c r="D3" s="249"/>
      <c r="E3" s="185" t="s">
        <v>429</v>
      </c>
      <c r="F3" s="184">
        <f>'Vyhodnotenie II+III'!D26</f>
        <v>0.95</v>
      </c>
      <c r="G3" s="185" t="s">
        <v>429</v>
      </c>
      <c r="H3" s="184">
        <f>'Vyhodnotenie II+III'!E26</f>
        <v>0.6</v>
      </c>
      <c r="I3" s="198">
        <f>'Vyhodnotenie II+III'!F26</f>
        <v>0.8</v>
      </c>
      <c r="J3" s="198">
        <f>'Vyhodnotenie II+III'!G26</f>
        <v>0.8</v>
      </c>
      <c r="K3" s="198">
        <f>'Vyhodnotenie II+III'!H26</f>
        <v>0.3</v>
      </c>
      <c r="L3" s="163"/>
      <c r="M3" s="162"/>
      <c r="N3" s="165"/>
    </row>
    <row r="4" spans="1:14" x14ac:dyDescent="0.25">
      <c r="A4" s="13" t="s">
        <v>135</v>
      </c>
      <c r="C4" s="250" t="s">
        <v>426</v>
      </c>
      <c r="D4" s="178" t="s">
        <v>142</v>
      </c>
      <c r="E4" s="178"/>
      <c r="F4" s="31">
        <f>SUM(F15:F41)/ROWS(F15:F41)</f>
        <v>0</v>
      </c>
      <c r="G4" s="1"/>
      <c r="H4" s="31">
        <f t="shared" ref="H4:K4" si="0">SUM(H15:H41)/ROWS(H15:H41)</f>
        <v>0</v>
      </c>
      <c r="I4" s="31">
        <f t="shared" si="0"/>
        <v>0</v>
      </c>
      <c r="J4" s="31">
        <f t="shared" si="0"/>
        <v>0</v>
      </c>
      <c r="K4" s="31">
        <f t="shared" si="0"/>
        <v>0</v>
      </c>
      <c r="L4" s="31">
        <f t="shared" ref="L4:M4" si="1">SUM(L15:L41)/ROWS(L15:L41)</f>
        <v>0</v>
      </c>
      <c r="M4" s="31">
        <f t="shared" si="1"/>
        <v>0</v>
      </c>
      <c r="N4" s="94">
        <f>SUM(N15:N41)</f>
        <v>0</v>
      </c>
    </row>
    <row r="5" spans="1:14" x14ac:dyDescent="0.25">
      <c r="A5" s="32"/>
      <c r="B5" s="32"/>
      <c r="C5" s="250"/>
      <c r="D5" s="2" t="s">
        <v>427</v>
      </c>
      <c r="E5" s="2"/>
      <c r="F5" s="33">
        <f>SUMPRODUCT(F15:F41,D15:D41)/SUM(D15:D41)</f>
        <v>0</v>
      </c>
      <c r="G5" s="164"/>
      <c r="H5" s="33">
        <f>SUMPRODUCT(H15:H41,D15:D41)/SUM(D15:D41)</f>
        <v>0</v>
      </c>
      <c r="I5" s="33">
        <f>SUMPRODUCT(I15:I41,D15:D41)/SUM(D15:D41)</f>
        <v>0</v>
      </c>
      <c r="J5" s="33">
        <f>SUMPRODUCT(J15:J41,D15:D41)/SUM(D15:D41)</f>
        <v>0</v>
      </c>
      <c r="K5" s="33">
        <f>SUMPRODUCT(K15:K41,D15:D41)/SUM(D15:D41)</f>
        <v>0</v>
      </c>
      <c r="L5" s="33">
        <f>SUMPRODUCT(L15:L41,D15:D41)/SUM(D15:D41)</f>
        <v>0</v>
      </c>
      <c r="M5" s="33">
        <f>SUMPRODUCT(M15:M41,D15:D41)/SUM(D15:D41)</f>
        <v>0</v>
      </c>
      <c r="N5" s="94">
        <f>SUM(N15:N41)</f>
        <v>0</v>
      </c>
    </row>
    <row r="6" spans="1:14" x14ac:dyDescent="0.25">
      <c r="C6" s="251"/>
      <c r="D6" s="1" t="s">
        <v>480</v>
      </c>
      <c r="E6" s="183" t="str">
        <f>COUNTIF(F15:F41,"&gt;=95%")&amp;"/"&amp;ROWS(F15:F41)&amp;" vlakov"</f>
        <v>0/27 vlakov</v>
      </c>
      <c r="F6" s="31">
        <f>SUMPRODUCT(F15:F41,D15:D41,C15:C41)/SUMPRODUCT(D15:D41,C15:C41)</f>
        <v>0</v>
      </c>
      <c r="G6" s="183" t="str">
        <f>COUNTIF(H15:H41,"&gt;=60%")&amp;"/"&amp;ROWS(H15:H41)&amp;" vlakov"</f>
        <v>0/27 vlakov</v>
      </c>
      <c r="H6" s="31">
        <f>SUMPRODUCT(H15:H41,D15:D41,C15:C41)/SUMPRODUCT(D15:D41,C15:C41)</f>
        <v>0</v>
      </c>
      <c r="I6" s="31">
        <f>SUMPRODUCT(I15:I41,D15:D41,C15:C41)/SUMPRODUCT(D15:D41,C15:C41)</f>
        <v>0</v>
      </c>
      <c r="J6" s="31">
        <f>SUMPRODUCT(J15:J41,D15:D41,C15:C41)/SUMPRODUCT(D15:D41,C15:C41)</f>
        <v>0</v>
      </c>
      <c r="K6" s="31">
        <f>SUMPRODUCT(K15:K41,D15:D41,C15:C41)/SUMPRODUCT(D15:D41,C15:C41)</f>
        <v>0</v>
      </c>
      <c r="L6" s="31">
        <f>SUMPRODUCT(L15:L41,D15:D41,C15:C41)/SUMPRODUCT(D15:D41,C15:C41)</f>
        <v>0</v>
      </c>
      <c r="M6" s="31">
        <f>SUMPRODUCT(M15:M41,D15:D41,C15:C41)/SUMPRODUCT(D15:D41,C15:C41)</f>
        <v>0</v>
      </c>
      <c r="N6" s="94">
        <f>SUM(N15:N41)</f>
        <v>0</v>
      </c>
    </row>
    <row r="7" spans="1:14" x14ac:dyDescent="0.25">
      <c r="A7" s="180" t="s">
        <v>136</v>
      </c>
      <c r="C7" s="250" t="s">
        <v>426</v>
      </c>
      <c r="D7" s="178" t="s">
        <v>142</v>
      </c>
      <c r="E7" s="178"/>
      <c r="F7" s="31">
        <f>SUM(F43:F69)/ROWS(F43:F69)</f>
        <v>0</v>
      </c>
      <c r="G7" s="1"/>
      <c r="H7" s="31">
        <f t="shared" ref="H7:K7" si="2">SUM(H43:H69)/ROWS(H43:H69)</f>
        <v>0</v>
      </c>
      <c r="I7" s="31">
        <f t="shared" si="2"/>
        <v>0</v>
      </c>
      <c r="J7" s="31">
        <f t="shared" si="2"/>
        <v>0</v>
      </c>
      <c r="K7" s="31">
        <f t="shared" si="2"/>
        <v>0</v>
      </c>
      <c r="L7" s="31">
        <f t="shared" ref="L7:M7" si="3">SUM(L43:L69)/ROWS(L43:L69)</f>
        <v>0</v>
      </c>
      <c r="M7" s="31">
        <f t="shared" si="3"/>
        <v>0</v>
      </c>
      <c r="N7" s="94">
        <f>SUM(N65:N113)</f>
        <v>0</v>
      </c>
    </row>
    <row r="8" spans="1:14" x14ac:dyDescent="0.25">
      <c r="A8" s="32"/>
      <c r="B8" s="32"/>
      <c r="C8" s="250"/>
      <c r="D8" s="2" t="s">
        <v>427</v>
      </c>
      <c r="E8" s="2"/>
      <c r="F8" s="33">
        <f>SUMPRODUCT(F43:F69,D43:D69)/SUM(D43:D69)</f>
        <v>0</v>
      </c>
      <c r="G8" s="164"/>
      <c r="H8" s="33">
        <f>SUMPRODUCT(H43:H69,D43:D69)/SUM(D43:D69)</f>
        <v>0</v>
      </c>
      <c r="I8" s="33">
        <f>SUMPRODUCT(I43:I69,D43:D69)/SUM(D43:D69)</f>
        <v>0</v>
      </c>
      <c r="J8" s="33">
        <f>SUMPRODUCT(J43:J69,D43:D69)/SUM(D43:D69)</f>
        <v>0</v>
      </c>
      <c r="K8" s="33">
        <f>SUMPRODUCT(K43:K69,D43:D69)/SUM(D43:D69)</f>
        <v>0</v>
      </c>
      <c r="L8" s="33">
        <f>SUMPRODUCT(L43:L69,D43:D69)/SUM(D43:D69)</f>
        <v>0</v>
      </c>
      <c r="M8" s="33">
        <f>SUMPRODUCT(M43:M69,D43:D69)/SUM(D43:D69)</f>
        <v>0</v>
      </c>
      <c r="N8" s="94">
        <f>SUM(N65:N113)</f>
        <v>0</v>
      </c>
    </row>
    <row r="9" spans="1:14" x14ac:dyDescent="0.25">
      <c r="C9" s="251"/>
      <c r="D9" s="1" t="s">
        <v>480</v>
      </c>
      <c r="E9" s="183" t="str">
        <f>COUNTIF(F43:F69,"&gt;=95%")&amp;"/"&amp;ROWS(F43:F69)&amp;" vlakov"</f>
        <v>0/27 vlakov</v>
      </c>
      <c r="F9" s="31">
        <f>SUMPRODUCT(F43:F69,D43:D69,C43:C69)/SUMPRODUCT(D43:D69,C43:C69)</f>
        <v>0</v>
      </c>
      <c r="G9" s="183" t="str">
        <f>COUNTIF(H43:H69,"&gt;=60%")&amp;"/"&amp;ROWS(H43:H69)&amp;" vlakov"</f>
        <v>0/27 vlakov</v>
      </c>
      <c r="H9" s="31">
        <f>SUMPRODUCT(H43:H69,D43:D69,C43:C69)/SUMPRODUCT(D43:D69,C43:C69)</f>
        <v>0</v>
      </c>
      <c r="I9" s="31">
        <f>SUMPRODUCT(I43:I69,D43:D69,C43:C69)/SUMPRODUCT(D43:D69,C43:C69)</f>
        <v>0</v>
      </c>
      <c r="J9" s="31">
        <f>SUMPRODUCT(J43:J69,D43:D69,C43:C69)/SUMPRODUCT(D43:D69,C43:C69)</f>
        <v>0</v>
      </c>
      <c r="K9" s="31">
        <f>SUMPRODUCT(K43:K69,D43:D69,C43:C69)/SUMPRODUCT(D43:D69,C43:C69)</f>
        <v>0</v>
      </c>
      <c r="L9" s="31">
        <f>SUMPRODUCT(L43:L69,D43:D69,C43:C69)/SUMPRODUCT(D43:D69,C43:C69)</f>
        <v>0</v>
      </c>
      <c r="M9" s="31">
        <f>SUMPRODUCT(M43:M69,D43:D69,C43:C69)/SUMPRODUCT(D43:D69,C43:C69)</f>
        <v>0</v>
      </c>
      <c r="N9" s="94">
        <f>SUM(N65:N113)</f>
        <v>0</v>
      </c>
    </row>
    <row r="10" spans="1:14" ht="22.5" customHeight="1" x14ac:dyDescent="0.25">
      <c r="A10" s="179" t="s">
        <v>431</v>
      </c>
      <c r="B10" t="s">
        <v>434</v>
      </c>
      <c r="C10" s="186"/>
      <c r="D10" s="30"/>
      <c r="E10" s="187"/>
      <c r="F10" s="188"/>
      <c r="G10" s="187"/>
      <c r="H10" s="188"/>
      <c r="I10" s="188"/>
      <c r="J10" s="188"/>
      <c r="K10" s="188"/>
      <c r="L10" s="188"/>
      <c r="M10" s="188"/>
      <c r="N10" s="189"/>
    </row>
    <row r="11" spans="1:14" ht="18" customHeight="1" x14ac:dyDescent="0.25">
      <c r="A11" s="13" t="s">
        <v>135</v>
      </c>
    </row>
    <row r="12" spans="1:14" x14ac:dyDescent="0.25">
      <c r="A12" s="233" t="s">
        <v>15</v>
      </c>
      <c r="B12" s="1" t="s">
        <v>16</v>
      </c>
      <c r="C12" s="246" t="s">
        <v>23</v>
      </c>
      <c r="D12" s="226" t="s">
        <v>349</v>
      </c>
      <c r="E12" s="231" t="s">
        <v>17</v>
      </c>
      <c r="F12" s="236"/>
      <c r="G12" s="233" t="s">
        <v>342</v>
      </c>
      <c r="H12" s="233"/>
      <c r="I12" s="7" t="s">
        <v>6</v>
      </c>
      <c r="J12" s="7" t="s">
        <v>10</v>
      </c>
      <c r="K12" s="3" t="s">
        <v>14</v>
      </c>
      <c r="L12" s="3" t="s">
        <v>12</v>
      </c>
      <c r="M12" s="231" t="s">
        <v>248</v>
      </c>
      <c r="N12" s="232"/>
    </row>
    <row r="13" spans="1:14" ht="15" customHeight="1" x14ac:dyDescent="0.25">
      <c r="A13" s="233"/>
      <c r="B13" s="226" t="s">
        <v>0</v>
      </c>
      <c r="C13" s="247"/>
      <c r="D13" s="226"/>
      <c r="E13" s="3" t="s">
        <v>8</v>
      </c>
      <c r="F13" s="3" t="s">
        <v>152</v>
      </c>
      <c r="G13" s="101" t="s">
        <v>344</v>
      </c>
      <c r="H13" s="101" t="s">
        <v>19</v>
      </c>
      <c r="I13" s="5" t="s">
        <v>345</v>
      </c>
      <c r="J13" s="5" t="s">
        <v>21</v>
      </c>
      <c r="K13" s="5" t="s">
        <v>156</v>
      </c>
      <c r="L13" s="5" t="s">
        <v>261</v>
      </c>
      <c r="M13" s="3" t="s">
        <v>257</v>
      </c>
      <c r="N13" s="3" t="s">
        <v>316</v>
      </c>
    </row>
    <row r="14" spans="1:14" x14ac:dyDescent="0.25">
      <c r="A14" s="233"/>
      <c r="B14" s="226"/>
      <c r="C14" s="6" t="s">
        <v>22</v>
      </c>
      <c r="D14" s="3" t="s">
        <v>155</v>
      </c>
      <c r="E14" s="3" t="s">
        <v>20</v>
      </c>
      <c r="F14" s="4" t="s">
        <v>151</v>
      </c>
      <c r="G14" s="101" t="s">
        <v>343</v>
      </c>
      <c r="H14" s="101" t="s">
        <v>18</v>
      </c>
      <c r="I14" s="5" t="s">
        <v>346</v>
      </c>
      <c r="J14" s="5" t="s">
        <v>347</v>
      </c>
      <c r="K14" s="11" t="s">
        <v>132</v>
      </c>
      <c r="L14" s="11" t="s">
        <v>279</v>
      </c>
      <c r="M14" s="3" t="s">
        <v>256</v>
      </c>
      <c r="N14" s="3" t="s">
        <v>317</v>
      </c>
    </row>
    <row r="15" spans="1:14" x14ac:dyDescent="0.25">
      <c r="A15" s="1" t="str">
        <f>Grafikon!$M4</f>
        <v>Os 4373</v>
      </c>
      <c r="B15" s="199"/>
      <c r="C15" s="2">
        <f>Grafikon!$O4</f>
        <v>53.328000000000003</v>
      </c>
      <c r="D15" s="3">
        <f>Grafikon!$S4</f>
        <v>100</v>
      </c>
      <c r="E15" s="10">
        <f>IFERROR(VLOOKUP($B15,Súpravy!$A$6:$Q$31,6,FALSE),0)</f>
        <v>0</v>
      </c>
      <c r="F15" s="31">
        <f t="shared" ref="F15:F41" si="4">MIN(E15/D15,1)</f>
        <v>0</v>
      </c>
      <c r="G15" s="10">
        <f>IFERROR(VLOOKUP($B15,Súpravy!$A$6:$Q$31,3,FALSE),0)</f>
        <v>0</v>
      </c>
      <c r="H15" s="17">
        <f>IFERROR(MIN(G15/D15,1),0)</f>
        <v>0</v>
      </c>
      <c r="I15" s="12">
        <f>IFERROR(VLOOKUP($B15,Súpravy!$A$6:$Q$31,9,FALSE),0)</f>
        <v>0</v>
      </c>
      <c r="J15" s="12">
        <f>IFERROR(VLOOKUP($B15,Súpravy!$A$6:$Q$31,12,FALSE),0)</f>
        <v>0</v>
      </c>
      <c r="K15" s="12">
        <f>IFERROR(VLOOKUP($B15,Súpravy!$A$6:$Q$31,17,FALSE),0)</f>
        <v>0</v>
      </c>
      <c r="L15" s="12">
        <f>IFERROR(VLOOKUP($B15,Súpravy!$A$6:$Q$31,18,FALSE),0)</f>
        <v>0</v>
      </c>
      <c r="M15" s="17">
        <f t="shared" ref="M15:M41" si="5">IFERROR(D15/G15,0)</f>
        <v>0</v>
      </c>
      <c r="N15" s="93">
        <f>IF(OR(C15=53.328,M15&lt;=80%),0,D15*(Ocenenie!$E$56*(M15)*(M15)*(M15)+Ocenenie!$E$57*(M15)*(M15)+Ocenenie!$E$58*(M15)-Ocenenie!$E$60))</f>
        <v>0</v>
      </c>
    </row>
    <row r="16" spans="1:14" x14ac:dyDescent="0.25">
      <c r="A16" s="1" t="str">
        <f>Grafikon!$M5</f>
        <v>Os 4391</v>
      </c>
      <c r="B16" s="199"/>
      <c r="C16" s="2">
        <f>Grafikon!$O5</f>
        <v>46.847000000000001</v>
      </c>
      <c r="D16" s="3">
        <f>Grafikon!$S5</f>
        <v>100</v>
      </c>
      <c r="E16" s="10">
        <f>IFERROR(VLOOKUP($B16,Súpravy!$A$6:$Q$31,6,FALSE),0)</f>
        <v>0</v>
      </c>
      <c r="F16" s="31">
        <f t="shared" si="4"/>
        <v>0</v>
      </c>
      <c r="G16" s="10">
        <f>IFERROR(VLOOKUP($B16,Súpravy!$A$6:$Q$31,3,FALSE),0)</f>
        <v>0</v>
      </c>
      <c r="H16" s="17">
        <f t="shared" ref="H16:H69" si="6">IFERROR(MIN(G16/D16,1),0)</f>
        <v>0</v>
      </c>
      <c r="I16" s="12">
        <f>IFERROR(VLOOKUP($B16,Súpravy!$A$6:$Q$31,9,FALSE),0)</f>
        <v>0</v>
      </c>
      <c r="J16" s="12">
        <f>IFERROR(VLOOKUP($B16,Súpravy!$A$6:$Q$31,12,FALSE),0)</f>
        <v>0</v>
      </c>
      <c r="K16" s="12">
        <f>IFERROR(VLOOKUP($B16,Súpravy!$A$6:$Q$31,17,FALSE),0)</f>
        <v>0</v>
      </c>
      <c r="L16" s="12">
        <f>IFERROR(VLOOKUP($B16,Súpravy!$A$6:$Q$31,18,FALSE),0)</f>
        <v>0</v>
      </c>
      <c r="M16" s="17">
        <f t="shared" si="5"/>
        <v>0</v>
      </c>
      <c r="N16" s="93">
        <f>IF(OR(C16=53.328,M16&lt;=80%),0,D16*(Ocenenie!$E$56*(M16)*(M16)*(M16)+Ocenenie!$E$57*(M16)*(M16)+Ocenenie!$E$58*(M16)-Ocenenie!$E$60))</f>
        <v>0</v>
      </c>
    </row>
    <row r="17" spans="1:14" x14ac:dyDescent="0.25">
      <c r="A17" s="1" t="str">
        <f>Grafikon!$M6</f>
        <v>Zr 1761</v>
      </c>
      <c r="B17" s="199"/>
      <c r="C17" s="2">
        <f>Grafikon!$O6</f>
        <v>100.175</v>
      </c>
      <c r="D17" s="3">
        <f>Grafikon!$S6</f>
        <v>100</v>
      </c>
      <c r="E17" s="10">
        <f>IFERROR(VLOOKUP($B17,Súpravy!$A$6:$Q$31,6,FALSE),0)</f>
        <v>0</v>
      </c>
      <c r="F17" s="31">
        <f t="shared" si="4"/>
        <v>0</v>
      </c>
      <c r="G17" s="10">
        <f>IFERROR(VLOOKUP($B17,Súpravy!$A$6:$Q$31,3,FALSE),0)</f>
        <v>0</v>
      </c>
      <c r="H17" s="17">
        <f t="shared" si="6"/>
        <v>0</v>
      </c>
      <c r="I17" s="12">
        <f>IFERROR(VLOOKUP($B17,Súpravy!$A$6:$Q$31,9,FALSE),0)</f>
        <v>0</v>
      </c>
      <c r="J17" s="12">
        <f>IFERROR(VLOOKUP($B17,Súpravy!$A$6:$Q$31,12,FALSE),0)</f>
        <v>0</v>
      </c>
      <c r="K17" s="12">
        <f>IFERROR(VLOOKUP($B17,Súpravy!$A$6:$Q$31,17,FALSE),0)</f>
        <v>0</v>
      </c>
      <c r="L17" s="12">
        <f>IFERROR(VLOOKUP($B17,Súpravy!$A$6:$Q$31,18,FALSE),0)</f>
        <v>0</v>
      </c>
      <c r="M17" s="17">
        <f t="shared" si="5"/>
        <v>0</v>
      </c>
      <c r="N17" s="93">
        <f>IF(OR(C17=53.328,M17&lt;=80%),0,D17*(Ocenenie!$E$56*(M17)*(M17)*(M17)+Ocenenie!$E$57*(M17)*(M17)+Ocenenie!$E$58*(M17)-Ocenenie!$E$60))</f>
        <v>0</v>
      </c>
    </row>
    <row r="18" spans="1:14" x14ac:dyDescent="0.25">
      <c r="A18" s="1" t="str">
        <f>Grafikon!$M7</f>
        <v>Os 4303</v>
      </c>
      <c r="B18" s="199"/>
      <c r="C18" s="2">
        <f>Grafikon!$O7</f>
        <v>46.847000000000001</v>
      </c>
      <c r="D18" s="3">
        <f>Grafikon!$S7</f>
        <v>100</v>
      </c>
      <c r="E18" s="10">
        <f>IFERROR(VLOOKUP($B18,Súpravy!$A$6:$Q$31,6,FALSE),0)</f>
        <v>0</v>
      </c>
      <c r="F18" s="31">
        <f t="shared" si="4"/>
        <v>0</v>
      </c>
      <c r="G18" s="10">
        <f>IFERROR(VLOOKUP($B18,Súpravy!$A$6:$Q$31,3,FALSE),0)</f>
        <v>0</v>
      </c>
      <c r="H18" s="17">
        <f t="shared" si="6"/>
        <v>0</v>
      </c>
      <c r="I18" s="12">
        <f>IFERROR(VLOOKUP($B18,Súpravy!$A$6:$Q$31,9,FALSE),0)</f>
        <v>0</v>
      </c>
      <c r="J18" s="12">
        <f>IFERROR(VLOOKUP($B18,Súpravy!$A$6:$Q$31,12,FALSE),0)</f>
        <v>0</v>
      </c>
      <c r="K18" s="12">
        <f>IFERROR(VLOOKUP($B18,Súpravy!$A$6:$Q$31,17,FALSE),0)</f>
        <v>0</v>
      </c>
      <c r="L18" s="12">
        <f>IFERROR(VLOOKUP($B18,Súpravy!$A$6:$Q$31,18,FALSE),0)</f>
        <v>0</v>
      </c>
      <c r="M18" s="17">
        <f t="shared" si="5"/>
        <v>0</v>
      </c>
      <c r="N18" s="93">
        <f>IF(OR(C18=53.328,M18&lt;=80%),0,D18*(Ocenenie!$E$56*(M18)*(M18)*(M18)+Ocenenie!$E$57*(M18)*(M18)+Ocenenie!$E$58*(M18)-Ocenenie!$E$60))</f>
        <v>0</v>
      </c>
    </row>
    <row r="19" spans="1:14" x14ac:dyDescent="0.25">
      <c r="A19" s="1" t="str">
        <f>Grafikon!$M8</f>
        <v>Os 4305</v>
      </c>
      <c r="B19" s="199"/>
      <c r="C19" s="2">
        <f>Grafikon!$O8</f>
        <v>46.847000000000001</v>
      </c>
      <c r="D19" s="3">
        <f>Grafikon!$S8</f>
        <v>100</v>
      </c>
      <c r="E19" s="10">
        <f>IFERROR(VLOOKUP($B19,Súpravy!$A$6:$Q$31,6,FALSE),0)</f>
        <v>0</v>
      </c>
      <c r="F19" s="31">
        <f t="shared" si="4"/>
        <v>0</v>
      </c>
      <c r="G19" s="10">
        <f>IFERROR(VLOOKUP($B19,Súpravy!$A$6:$Q$31,3,FALSE),0)</f>
        <v>0</v>
      </c>
      <c r="H19" s="17">
        <f t="shared" si="6"/>
        <v>0</v>
      </c>
      <c r="I19" s="12">
        <f>IFERROR(VLOOKUP($B19,Súpravy!$A$6:$Q$31,9,FALSE),0)</f>
        <v>0</v>
      </c>
      <c r="J19" s="12">
        <f>IFERROR(VLOOKUP($B19,Súpravy!$A$6:$Q$31,12,FALSE),0)</f>
        <v>0</v>
      </c>
      <c r="K19" s="12">
        <f>IFERROR(VLOOKUP($B19,Súpravy!$A$6:$Q$31,17,FALSE),0)</f>
        <v>0</v>
      </c>
      <c r="L19" s="12">
        <f>IFERROR(VLOOKUP($B19,Súpravy!$A$6:$Q$31,18,FALSE),0)</f>
        <v>0</v>
      </c>
      <c r="M19" s="17">
        <f t="shared" si="5"/>
        <v>0</v>
      </c>
      <c r="N19" s="93">
        <f>IF(OR(C19=53.328,M19&lt;=80%),0,D19*(Ocenenie!$E$56*(M19)*(M19)*(M19)+Ocenenie!$E$57*(M19)*(M19)+Ocenenie!$E$58*(M19)-Ocenenie!$E$60))</f>
        <v>0</v>
      </c>
    </row>
    <row r="20" spans="1:14" x14ac:dyDescent="0.25">
      <c r="A20" s="1" t="str">
        <f>Grafikon!$M9</f>
        <v>Zr 1765</v>
      </c>
      <c r="B20" s="199"/>
      <c r="C20" s="2">
        <f>Grafikon!$O9</f>
        <v>100.175</v>
      </c>
      <c r="D20" s="3">
        <f>Grafikon!$S9</f>
        <v>100</v>
      </c>
      <c r="E20" s="10">
        <f>IFERROR(VLOOKUP($B20,Súpravy!$A$6:$Q$31,6,FALSE),0)</f>
        <v>0</v>
      </c>
      <c r="F20" s="31">
        <f t="shared" si="4"/>
        <v>0</v>
      </c>
      <c r="G20" s="10">
        <f>IFERROR(VLOOKUP($B20,Súpravy!$A$6:$Q$31,3,FALSE),0)</f>
        <v>0</v>
      </c>
      <c r="H20" s="17">
        <f t="shared" si="6"/>
        <v>0</v>
      </c>
      <c r="I20" s="12">
        <f>IFERROR(VLOOKUP($B20,Súpravy!$A$6:$Q$31,9,FALSE),0)</f>
        <v>0</v>
      </c>
      <c r="J20" s="12">
        <f>IFERROR(VLOOKUP($B20,Súpravy!$A$6:$Q$31,12,FALSE),0)</f>
        <v>0</v>
      </c>
      <c r="K20" s="12">
        <f>IFERROR(VLOOKUP($B20,Súpravy!$A$6:$Q$31,17,FALSE),0)</f>
        <v>0</v>
      </c>
      <c r="L20" s="12">
        <f>IFERROR(VLOOKUP($B20,Súpravy!$A$6:$Q$31,18,FALSE),0)</f>
        <v>0</v>
      </c>
      <c r="M20" s="17">
        <f t="shared" si="5"/>
        <v>0</v>
      </c>
      <c r="N20" s="93">
        <f>IF(OR(C20=53.328,M20&lt;=80%),0,D20*(Ocenenie!$E$56*(M20)*(M20)*(M20)+Ocenenie!$E$57*(M20)*(M20)+Ocenenie!$E$58*(M20)-Ocenenie!$E$60))</f>
        <v>0</v>
      </c>
    </row>
    <row r="21" spans="1:14" x14ac:dyDescent="0.25">
      <c r="A21" s="1" t="str">
        <f>Grafikon!$M10</f>
        <v>Os 4307</v>
      </c>
      <c r="B21" s="199"/>
      <c r="C21" s="2">
        <f>Grafikon!$O10</f>
        <v>46.847000000000001</v>
      </c>
      <c r="D21" s="3">
        <f>Grafikon!$S10</f>
        <v>100</v>
      </c>
      <c r="E21" s="10">
        <f>IFERROR(VLOOKUP($B21,Súpravy!$A$6:$Q$31,6,FALSE),0)</f>
        <v>0</v>
      </c>
      <c r="F21" s="31">
        <f t="shared" si="4"/>
        <v>0</v>
      </c>
      <c r="G21" s="10">
        <f>IFERROR(VLOOKUP($B21,Súpravy!$A$6:$Q$31,3,FALSE),0)</f>
        <v>0</v>
      </c>
      <c r="H21" s="17">
        <f t="shared" si="6"/>
        <v>0</v>
      </c>
      <c r="I21" s="12">
        <f>IFERROR(VLOOKUP($B21,Súpravy!$A$6:$Q$31,9,FALSE),0)</f>
        <v>0</v>
      </c>
      <c r="J21" s="12">
        <f>IFERROR(VLOOKUP($B21,Súpravy!$A$6:$Q$31,12,FALSE),0)</f>
        <v>0</v>
      </c>
      <c r="K21" s="12">
        <f>IFERROR(VLOOKUP($B21,Súpravy!$A$6:$Q$31,17,FALSE),0)</f>
        <v>0</v>
      </c>
      <c r="L21" s="12">
        <f>IFERROR(VLOOKUP($B21,Súpravy!$A$6:$Q$31,18,FALSE),0)</f>
        <v>0</v>
      </c>
      <c r="M21" s="17">
        <f t="shared" si="5"/>
        <v>0</v>
      </c>
      <c r="N21" s="93">
        <f>IF(OR(C21=53.328,M21&lt;=80%),0,D21*(Ocenenie!$E$56*(M21)*(M21)*(M21)+Ocenenie!$E$57*(M21)*(M21)+Ocenenie!$E$58*(M21)-Ocenenie!$E$60))</f>
        <v>0</v>
      </c>
    </row>
    <row r="22" spans="1:14" x14ac:dyDescent="0.25">
      <c r="A22" s="1" t="str">
        <f>Grafikon!$M11</f>
        <v>Os 4309</v>
      </c>
      <c r="B22" s="199"/>
      <c r="C22" s="2">
        <f>Grafikon!$O11</f>
        <v>46.847000000000001</v>
      </c>
      <c r="D22" s="3">
        <f>Grafikon!$S11</f>
        <v>100</v>
      </c>
      <c r="E22" s="10">
        <f>IFERROR(VLOOKUP($B22,Súpravy!$A$6:$Q$31,6,FALSE),0)</f>
        <v>0</v>
      </c>
      <c r="F22" s="31">
        <f t="shared" si="4"/>
        <v>0</v>
      </c>
      <c r="G22" s="10">
        <f>IFERROR(VLOOKUP($B22,Súpravy!$A$6:$Q$31,3,FALSE),0)</f>
        <v>0</v>
      </c>
      <c r="H22" s="17">
        <f t="shared" si="6"/>
        <v>0</v>
      </c>
      <c r="I22" s="12">
        <f>IFERROR(VLOOKUP($B22,Súpravy!$A$6:$Q$31,9,FALSE),0)</f>
        <v>0</v>
      </c>
      <c r="J22" s="12">
        <f>IFERROR(VLOOKUP($B22,Súpravy!$A$6:$Q$31,12,FALSE),0)</f>
        <v>0</v>
      </c>
      <c r="K22" s="12">
        <f>IFERROR(VLOOKUP($B22,Súpravy!$A$6:$Q$31,17,FALSE),0)</f>
        <v>0</v>
      </c>
      <c r="L22" s="12">
        <f>IFERROR(VLOOKUP($B22,Súpravy!$A$6:$Q$31,18,FALSE),0)</f>
        <v>0</v>
      </c>
      <c r="M22" s="17">
        <f t="shared" si="5"/>
        <v>0</v>
      </c>
      <c r="N22" s="93">
        <f>IF(OR(C22=53.328,M22&lt;=80%),0,D22*(Ocenenie!$E$56*(M22)*(M22)*(M22)+Ocenenie!$E$57*(M22)*(M22)+Ocenenie!$E$58*(M22)-Ocenenie!$E$60))</f>
        <v>0</v>
      </c>
    </row>
    <row r="23" spans="1:14" x14ac:dyDescent="0.25">
      <c r="A23" s="1" t="str">
        <f>Grafikon!$M12</f>
        <v>Zr 1769</v>
      </c>
      <c r="B23" s="199"/>
      <c r="C23" s="2">
        <f>Grafikon!$O12</f>
        <v>100.175</v>
      </c>
      <c r="D23" s="3">
        <f>Grafikon!$S12</f>
        <v>100</v>
      </c>
      <c r="E23" s="10">
        <f>IFERROR(VLOOKUP($B23,Súpravy!$A$6:$Q$31,6,FALSE),0)</f>
        <v>0</v>
      </c>
      <c r="F23" s="31">
        <f t="shared" si="4"/>
        <v>0</v>
      </c>
      <c r="G23" s="10">
        <f>IFERROR(VLOOKUP($B23,Súpravy!$A$6:$Q$31,3,FALSE),0)</f>
        <v>0</v>
      </c>
      <c r="H23" s="17">
        <f t="shared" si="6"/>
        <v>0</v>
      </c>
      <c r="I23" s="12">
        <f>IFERROR(VLOOKUP($B23,Súpravy!$A$6:$Q$31,9,FALSE),0)</f>
        <v>0</v>
      </c>
      <c r="J23" s="12">
        <f>IFERROR(VLOOKUP($B23,Súpravy!$A$6:$Q$31,12,FALSE),0)</f>
        <v>0</v>
      </c>
      <c r="K23" s="12">
        <f>IFERROR(VLOOKUP($B23,Súpravy!$A$6:$Q$31,17,FALSE),0)</f>
        <v>0</v>
      </c>
      <c r="L23" s="12">
        <f>IFERROR(VLOOKUP($B23,Súpravy!$A$6:$Q$31,18,FALSE),0)</f>
        <v>0</v>
      </c>
      <c r="M23" s="17">
        <f t="shared" si="5"/>
        <v>0</v>
      </c>
      <c r="N23" s="93">
        <f>IF(OR(C23=53.328,M23&lt;=80%),0,D23*(Ocenenie!$E$56*(M23)*(M23)*(M23)+Ocenenie!$E$57*(M23)*(M23)+Ocenenie!$E$58*(M23)-Ocenenie!$E$60))</f>
        <v>0</v>
      </c>
    </row>
    <row r="24" spans="1:14" x14ac:dyDescent="0.25">
      <c r="A24" s="1" t="str">
        <f>Grafikon!$M13</f>
        <v>Os 4311</v>
      </c>
      <c r="B24" s="199"/>
      <c r="C24" s="2">
        <f>Grafikon!$O13</f>
        <v>46.847000000000001</v>
      </c>
      <c r="D24" s="3">
        <f>Grafikon!$S13</f>
        <v>200</v>
      </c>
      <c r="E24" s="10">
        <f>IFERROR(VLOOKUP($B24,Súpravy!$A$6:$Q$31,6,FALSE),0)</f>
        <v>0</v>
      </c>
      <c r="F24" s="31">
        <f t="shared" si="4"/>
        <v>0</v>
      </c>
      <c r="G24" s="10">
        <f>IFERROR(VLOOKUP($B24,Súpravy!$A$6:$Q$31,3,FALSE),0)</f>
        <v>0</v>
      </c>
      <c r="H24" s="17">
        <f t="shared" si="6"/>
        <v>0</v>
      </c>
      <c r="I24" s="12">
        <f>IFERROR(VLOOKUP($B24,Súpravy!$A$6:$Q$31,9,FALSE),0)</f>
        <v>0</v>
      </c>
      <c r="J24" s="12">
        <f>IFERROR(VLOOKUP($B24,Súpravy!$A$6:$Q$31,12,FALSE),0)</f>
        <v>0</v>
      </c>
      <c r="K24" s="12">
        <f>IFERROR(VLOOKUP($B24,Súpravy!$A$6:$Q$31,17,FALSE),0)</f>
        <v>0</v>
      </c>
      <c r="L24" s="12">
        <f>IFERROR(VLOOKUP($B24,Súpravy!$A$6:$Q$31,18,FALSE),0)</f>
        <v>0</v>
      </c>
      <c r="M24" s="17">
        <f t="shared" si="5"/>
        <v>0</v>
      </c>
      <c r="N24" s="93">
        <f>IF(OR(C24=53.328,M24&lt;=80%),0,D24*(Ocenenie!$E$56*(M24)*(M24)*(M24)+Ocenenie!$E$57*(M24)*(M24)+Ocenenie!$E$58*(M24)-Ocenenie!$E$60))</f>
        <v>0</v>
      </c>
    </row>
    <row r="25" spans="1:14" x14ac:dyDescent="0.25">
      <c r="A25" s="1" t="str">
        <f>Grafikon!$M14</f>
        <v>Os 4313</v>
      </c>
      <c r="B25" s="199"/>
      <c r="C25" s="2">
        <f>Grafikon!$O14</f>
        <v>46.847000000000001</v>
      </c>
      <c r="D25" s="3">
        <f>Grafikon!$S14</f>
        <v>200</v>
      </c>
      <c r="E25" s="10">
        <f>IFERROR(VLOOKUP($B25,Súpravy!$A$6:$Q$31,6,FALSE),0)</f>
        <v>0</v>
      </c>
      <c r="F25" s="31">
        <f t="shared" si="4"/>
        <v>0</v>
      </c>
      <c r="G25" s="10">
        <f>IFERROR(VLOOKUP($B25,Súpravy!$A$6:$Q$31,3,FALSE),0)</f>
        <v>0</v>
      </c>
      <c r="H25" s="17">
        <f t="shared" si="6"/>
        <v>0</v>
      </c>
      <c r="I25" s="12">
        <f>IFERROR(VLOOKUP($B25,Súpravy!$A$6:$Q$31,9,FALSE),0)</f>
        <v>0</v>
      </c>
      <c r="J25" s="12">
        <f>IFERROR(VLOOKUP($B25,Súpravy!$A$6:$Q$31,12,FALSE),0)</f>
        <v>0</v>
      </c>
      <c r="K25" s="12">
        <f>IFERROR(VLOOKUP($B25,Súpravy!$A$6:$Q$31,17,FALSE),0)</f>
        <v>0</v>
      </c>
      <c r="L25" s="12">
        <f>IFERROR(VLOOKUP($B25,Súpravy!$A$6:$Q$31,18,FALSE),0)</f>
        <v>0</v>
      </c>
      <c r="M25" s="17">
        <f t="shared" si="5"/>
        <v>0</v>
      </c>
      <c r="N25" s="93">
        <f>IF(OR(C25=53.328,M25&lt;=80%),0,D25*(Ocenenie!$E$56*(M25)*(M25)*(M25)+Ocenenie!$E$57*(M25)*(M25)+Ocenenie!$E$58*(M25)-Ocenenie!$E$60))</f>
        <v>0</v>
      </c>
    </row>
    <row r="26" spans="1:14" x14ac:dyDescent="0.25">
      <c r="A26" s="1" t="str">
        <f>Grafikon!$M15</f>
        <v>Zr 1773</v>
      </c>
      <c r="B26" s="199"/>
      <c r="C26" s="2">
        <f>Grafikon!$O15</f>
        <v>100.175</v>
      </c>
      <c r="D26" s="3">
        <f>Grafikon!$S15</f>
        <v>100</v>
      </c>
      <c r="E26" s="10">
        <f>IFERROR(VLOOKUP($B26,Súpravy!$A$6:$Q$31,6,FALSE),0)</f>
        <v>0</v>
      </c>
      <c r="F26" s="31">
        <f t="shared" si="4"/>
        <v>0</v>
      </c>
      <c r="G26" s="10">
        <f>IFERROR(VLOOKUP($B26,Súpravy!$A$6:$Q$31,3,FALSE),0)</f>
        <v>0</v>
      </c>
      <c r="H26" s="17">
        <f t="shared" si="6"/>
        <v>0</v>
      </c>
      <c r="I26" s="12">
        <f>IFERROR(VLOOKUP($B26,Súpravy!$A$6:$Q$31,9,FALSE),0)</f>
        <v>0</v>
      </c>
      <c r="J26" s="12">
        <f>IFERROR(VLOOKUP($B26,Súpravy!$A$6:$Q$31,12,FALSE),0)</f>
        <v>0</v>
      </c>
      <c r="K26" s="12">
        <f>IFERROR(VLOOKUP($B26,Súpravy!$A$6:$Q$31,17,FALSE),0)</f>
        <v>0</v>
      </c>
      <c r="L26" s="12">
        <f>IFERROR(VLOOKUP($B26,Súpravy!$A$6:$Q$31,18,FALSE),0)</f>
        <v>0</v>
      </c>
      <c r="M26" s="17">
        <f t="shared" si="5"/>
        <v>0</v>
      </c>
      <c r="N26" s="93">
        <f>IF(OR(C26=53.328,M26&lt;=80%),0,D26*(Ocenenie!$E$56*(M26)*(M26)*(M26)+Ocenenie!$E$57*(M26)*(M26)+Ocenenie!$E$58*(M26)-Ocenenie!$E$60))</f>
        <v>0</v>
      </c>
    </row>
    <row r="27" spans="1:14" x14ac:dyDescent="0.25">
      <c r="A27" s="1" t="str">
        <f>Grafikon!$M16</f>
        <v>Os 4315</v>
      </c>
      <c r="B27" s="199"/>
      <c r="C27" s="2">
        <f>Grafikon!$O16</f>
        <v>46.847000000000001</v>
      </c>
      <c r="D27" s="3">
        <f>Grafikon!$S16</f>
        <v>200</v>
      </c>
      <c r="E27" s="10">
        <f>IFERROR(VLOOKUP($B27,Súpravy!$A$6:$Q$31,6,FALSE),0)</f>
        <v>0</v>
      </c>
      <c r="F27" s="31">
        <f t="shared" si="4"/>
        <v>0</v>
      </c>
      <c r="G27" s="10">
        <f>IFERROR(VLOOKUP($B27,Súpravy!$A$6:$Q$31,3,FALSE),0)</f>
        <v>0</v>
      </c>
      <c r="H27" s="17">
        <f t="shared" si="6"/>
        <v>0</v>
      </c>
      <c r="I27" s="12">
        <f>IFERROR(VLOOKUP($B27,Súpravy!$A$6:$Q$31,9,FALSE),0)</f>
        <v>0</v>
      </c>
      <c r="J27" s="12">
        <f>IFERROR(VLOOKUP($B27,Súpravy!$A$6:$Q$31,12,FALSE),0)</f>
        <v>0</v>
      </c>
      <c r="K27" s="12">
        <f>IFERROR(VLOOKUP($B27,Súpravy!$A$6:$Q$31,17,FALSE),0)</f>
        <v>0</v>
      </c>
      <c r="L27" s="12">
        <f>IFERROR(VLOOKUP($B27,Súpravy!$A$6:$Q$31,18,FALSE),0)</f>
        <v>0</v>
      </c>
      <c r="M27" s="17">
        <f t="shared" si="5"/>
        <v>0</v>
      </c>
      <c r="N27" s="93">
        <f>IF(OR(C27=53.328,M27&lt;=80%),0,D27*(Ocenenie!$E$56*(M27)*(M27)*(M27)+Ocenenie!$E$57*(M27)*(M27)+Ocenenie!$E$58*(M27)-Ocenenie!$E$60))</f>
        <v>0</v>
      </c>
    </row>
    <row r="28" spans="1:14" x14ac:dyDescent="0.25">
      <c r="A28" s="1" t="str">
        <f>Grafikon!$M17</f>
        <v>Os 4317</v>
      </c>
      <c r="B28" s="199"/>
      <c r="C28" s="2">
        <f>Grafikon!$O17</f>
        <v>46.847000000000001</v>
      </c>
      <c r="D28" s="3">
        <v>100</v>
      </c>
      <c r="E28" s="10">
        <f>IFERROR(VLOOKUP($B28,Súpravy!$A$6:$Q$31,6,FALSE),0)</f>
        <v>0</v>
      </c>
      <c r="F28" s="31">
        <f t="shared" si="4"/>
        <v>0</v>
      </c>
      <c r="G28" s="10">
        <f>IFERROR(VLOOKUP($B28,Súpravy!$A$6:$Q$31,3,FALSE),0)</f>
        <v>0</v>
      </c>
      <c r="H28" s="17">
        <f t="shared" si="6"/>
        <v>0</v>
      </c>
      <c r="I28" s="12">
        <f>IFERROR(VLOOKUP($B28,Súpravy!$A$6:$Q$31,9,FALSE),0)</f>
        <v>0</v>
      </c>
      <c r="J28" s="12">
        <f>IFERROR(VLOOKUP($B28,Súpravy!$A$6:$Q$31,12,FALSE),0)</f>
        <v>0</v>
      </c>
      <c r="K28" s="12">
        <f>IFERROR(VLOOKUP($B28,Súpravy!$A$6:$Q$31,17,FALSE),0)</f>
        <v>0</v>
      </c>
      <c r="L28" s="12">
        <f>IFERROR(VLOOKUP($B28,Súpravy!$A$6:$Q$31,18,FALSE),0)</f>
        <v>0</v>
      </c>
      <c r="M28" s="17">
        <f t="shared" si="5"/>
        <v>0</v>
      </c>
      <c r="N28" s="93">
        <f>IF(OR(C28=53.328,M28&lt;=80%),0,D28*(Ocenenie!$E$56*(M28)*(M28)*(M28)+Ocenenie!$E$57*(M28)*(M28)+Ocenenie!$E$58*(M28)-Ocenenie!$E$60))</f>
        <v>0</v>
      </c>
    </row>
    <row r="29" spans="1:14" x14ac:dyDescent="0.25">
      <c r="A29" s="1" t="str">
        <f>Grafikon!$M18</f>
        <v>Zr 1777</v>
      </c>
      <c r="B29" s="199"/>
      <c r="C29" s="2">
        <f>Grafikon!$O18</f>
        <v>100.175</v>
      </c>
      <c r="D29" s="3">
        <f>Grafikon!$S18</f>
        <v>200</v>
      </c>
      <c r="E29" s="10">
        <f>IFERROR(VLOOKUP($B29,Súpravy!$A$6:$Q$31,6,FALSE),0)</f>
        <v>0</v>
      </c>
      <c r="F29" s="31">
        <f t="shared" si="4"/>
        <v>0</v>
      </c>
      <c r="G29" s="10">
        <f>IFERROR(VLOOKUP($B29,Súpravy!$A$6:$Q$31,3,FALSE),0)</f>
        <v>0</v>
      </c>
      <c r="H29" s="17">
        <f t="shared" si="6"/>
        <v>0</v>
      </c>
      <c r="I29" s="12">
        <f>IFERROR(VLOOKUP($B29,Súpravy!$A$6:$Q$31,9,FALSE),0)</f>
        <v>0</v>
      </c>
      <c r="J29" s="12">
        <f>IFERROR(VLOOKUP($B29,Súpravy!$A$6:$Q$31,12,FALSE),0)</f>
        <v>0</v>
      </c>
      <c r="K29" s="12">
        <f>IFERROR(VLOOKUP($B29,Súpravy!$A$6:$Q$31,17,FALSE),0)</f>
        <v>0</v>
      </c>
      <c r="L29" s="12">
        <f>IFERROR(VLOOKUP($B29,Súpravy!$A$6:$Q$31,18,FALSE),0)</f>
        <v>0</v>
      </c>
      <c r="M29" s="17">
        <f t="shared" si="5"/>
        <v>0</v>
      </c>
      <c r="N29" s="93">
        <f>IF(OR(C29=53.328,M29&lt;=80%),0,D29*(Ocenenie!$E$56*(M29)*(M29)*(M29)+Ocenenie!$E$57*(M29)*(M29)+Ocenenie!$E$58*(M29)-Ocenenie!$E$60))</f>
        <v>0</v>
      </c>
    </row>
    <row r="30" spans="1:14" x14ac:dyDescent="0.25">
      <c r="A30" s="1" t="str">
        <f>Grafikon!$M19</f>
        <v>Os 4319</v>
      </c>
      <c r="B30" s="199"/>
      <c r="C30" s="2">
        <f>Grafikon!$O19</f>
        <v>46.847000000000001</v>
      </c>
      <c r="D30" s="3">
        <f>Grafikon!$S19</f>
        <v>200</v>
      </c>
      <c r="E30" s="10">
        <f>IFERROR(VLOOKUP($B30,Súpravy!$A$6:$Q$31,6,FALSE),0)</f>
        <v>0</v>
      </c>
      <c r="F30" s="31">
        <f t="shared" si="4"/>
        <v>0</v>
      </c>
      <c r="G30" s="10">
        <f>IFERROR(VLOOKUP($B30,Súpravy!$A$6:$Q$31,3,FALSE),0)</f>
        <v>0</v>
      </c>
      <c r="H30" s="17">
        <f t="shared" si="6"/>
        <v>0</v>
      </c>
      <c r="I30" s="12">
        <f>IFERROR(VLOOKUP($B30,Súpravy!$A$6:$Q$31,9,FALSE),0)</f>
        <v>0</v>
      </c>
      <c r="J30" s="12">
        <f>IFERROR(VLOOKUP($B30,Súpravy!$A$6:$Q$31,12,FALSE),0)</f>
        <v>0</v>
      </c>
      <c r="K30" s="12">
        <f>IFERROR(VLOOKUP($B30,Súpravy!$A$6:$Q$31,17,FALSE),0)</f>
        <v>0</v>
      </c>
      <c r="L30" s="12">
        <f>IFERROR(VLOOKUP($B30,Súpravy!$A$6:$Q$31,18,FALSE),0)</f>
        <v>0</v>
      </c>
      <c r="M30" s="17">
        <f t="shared" si="5"/>
        <v>0</v>
      </c>
      <c r="N30" s="93">
        <f>IF(OR(C30=53.328,M30&lt;=80%),0,D30*(Ocenenie!$E$56*(M30)*(M30)*(M30)+Ocenenie!$E$57*(M30)*(M30)+Ocenenie!$E$58*(M30)-Ocenenie!$E$60))</f>
        <v>0</v>
      </c>
    </row>
    <row r="31" spans="1:14" x14ac:dyDescent="0.25">
      <c r="A31" s="1" t="str">
        <f>Grafikon!$M20</f>
        <v>Os 4321</v>
      </c>
      <c r="B31" s="199"/>
      <c r="C31" s="2">
        <f>Grafikon!$O20</f>
        <v>46.847000000000001</v>
      </c>
      <c r="D31" s="3">
        <f>Grafikon!$S20</f>
        <v>200</v>
      </c>
      <c r="E31" s="10">
        <f>IFERROR(VLOOKUP($B31,Súpravy!$A$6:$Q$31,6,FALSE),0)</f>
        <v>0</v>
      </c>
      <c r="F31" s="31">
        <f t="shared" si="4"/>
        <v>0</v>
      </c>
      <c r="G31" s="10">
        <f>IFERROR(VLOOKUP($B31,Súpravy!$A$6:$Q$31,3,FALSE),0)</f>
        <v>0</v>
      </c>
      <c r="H31" s="17">
        <f t="shared" si="6"/>
        <v>0</v>
      </c>
      <c r="I31" s="12">
        <f>IFERROR(VLOOKUP($B31,Súpravy!$A$6:$Q$31,9,FALSE),0)</f>
        <v>0</v>
      </c>
      <c r="J31" s="12">
        <f>IFERROR(VLOOKUP($B31,Súpravy!$A$6:$Q$31,12,FALSE),0)</f>
        <v>0</v>
      </c>
      <c r="K31" s="12">
        <f>IFERROR(VLOOKUP($B31,Súpravy!$A$6:$Q$31,17,FALSE),0)</f>
        <v>0</v>
      </c>
      <c r="L31" s="12">
        <f>IFERROR(VLOOKUP($B31,Súpravy!$A$6:$Q$31,18,FALSE),0)</f>
        <v>0</v>
      </c>
      <c r="M31" s="17">
        <f t="shared" si="5"/>
        <v>0</v>
      </c>
      <c r="N31" s="93">
        <f>IF(OR(C31=53.328,M31&lt;=80%),0,D31*(Ocenenie!$E$56*(M31)*(M31)*(M31)+Ocenenie!$E$57*(M31)*(M31)+Ocenenie!$E$58*(M31)-Ocenenie!$E$60))</f>
        <v>0</v>
      </c>
    </row>
    <row r="32" spans="1:14" x14ac:dyDescent="0.25">
      <c r="A32" s="1" t="str">
        <f>Grafikon!$M21</f>
        <v>Zr 1781</v>
      </c>
      <c r="B32" s="199"/>
      <c r="C32" s="2">
        <f>Grafikon!$O21</f>
        <v>100.175</v>
      </c>
      <c r="D32" s="3">
        <f>Grafikon!$S21</f>
        <v>200</v>
      </c>
      <c r="E32" s="10">
        <f>IFERROR(VLOOKUP($B32,Súpravy!$A$6:$Q$31,6,FALSE),0)</f>
        <v>0</v>
      </c>
      <c r="F32" s="31">
        <f t="shared" si="4"/>
        <v>0</v>
      </c>
      <c r="G32" s="10">
        <f>IFERROR(VLOOKUP($B32,Súpravy!$A$6:$Q$31,3,FALSE),0)</f>
        <v>0</v>
      </c>
      <c r="H32" s="17">
        <f t="shared" si="6"/>
        <v>0</v>
      </c>
      <c r="I32" s="12">
        <f>IFERROR(VLOOKUP($B32,Súpravy!$A$6:$Q$31,9,FALSE),0)</f>
        <v>0</v>
      </c>
      <c r="J32" s="12">
        <f>IFERROR(VLOOKUP($B32,Súpravy!$A$6:$Q$31,12,FALSE),0)</f>
        <v>0</v>
      </c>
      <c r="K32" s="12">
        <f>IFERROR(VLOOKUP($B32,Súpravy!$A$6:$Q$31,17,FALSE),0)</f>
        <v>0</v>
      </c>
      <c r="L32" s="12">
        <f>IFERROR(VLOOKUP($B32,Súpravy!$A$6:$Q$31,18,FALSE),0)</f>
        <v>0</v>
      </c>
      <c r="M32" s="17">
        <f t="shared" si="5"/>
        <v>0</v>
      </c>
      <c r="N32" s="93">
        <f>IF(OR(C32=53.328,M32&lt;=80%),0,D32*(Ocenenie!$E$56*(M32)*(M32)*(M32)+Ocenenie!$E$57*(M32)*(M32)+Ocenenie!$E$58*(M32)-Ocenenie!$E$60))</f>
        <v>0</v>
      </c>
    </row>
    <row r="33" spans="1:14" x14ac:dyDescent="0.25">
      <c r="A33" s="1" t="str">
        <f>Grafikon!$M22</f>
        <v>Os 4323</v>
      </c>
      <c r="B33" s="199"/>
      <c r="C33" s="2">
        <f>Grafikon!$O22</f>
        <v>46.847000000000001</v>
      </c>
      <c r="D33" s="3">
        <f>Grafikon!$S22</f>
        <v>200</v>
      </c>
      <c r="E33" s="10">
        <f>IFERROR(VLOOKUP($B33,Súpravy!$A$6:$Q$31,6,FALSE),0)</f>
        <v>0</v>
      </c>
      <c r="F33" s="31">
        <f t="shared" si="4"/>
        <v>0</v>
      </c>
      <c r="G33" s="10">
        <f>IFERROR(VLOOKUP($B33,Súpravy!$A$6:$Q$31,3,FALSE),0)</f>
        <v>0</v>
      </c>
      <c r="H33" s="17">
        <f t="shared" si="6"/>
        <v>0</v>
      </c>
      <c r="I33" s="12">
        <f>IFERROR(VLOOKUP($B33,Súpravy!$A$6:$Q$31,9,FALSE),0)</f>
        <v>0</v>
      </c>
      <c r="J33" s="12">
        <f>IFERROR(VLOOKUP($B33,Súpravy!$A$6:$Q$31,12,FALSE),0)</f>
        <v>0</v>
      </c>
      <c r="K33" s="12">
        <f>IFERROR(VLOOKUP($B33,Súpravy!$A$6:$Q$31,17,FALSE),0)</f>
        <v>0</v>
      </c>
      <c r="L33" s="12">
        <f>IFERROR(VLOOKUP($B33,Súpravy!$A$6:$Q$31,18,FALSE),0)</f>
        <v>0</v>
      </c>
      <c r="M33" s="17">
        <f t="shared" si="5"/>
        <v>0</v>
      </c>
      <c r="N33" s="93">
        <f>IF(OR(C33=53.328,M33&lt;=80%),0,D33*(Ocenenie!$E$56*(M33)*(M33)*(M33)+Ocenenie!$E$57*(M33)*(M33)+Ocenenie!$E$58*(M33)-Ocenenie!$E$60))</f>
        <v>0</v>
      </c>
    </row>
    <row r="34" spans="1:14" x14ac:dyDescent="0.25">
      <c r="A34" s="1" t="str">
        <f>Grafikon!$M23</f>
        <v>Os 4325</v>
      </c>
      <c r="B34" s="199"/>
      <c r="C34" s="2">
        <f>Grafikon!$O23</f>
        <v>46.847000000000001</v>
      </c>
      <c r="D34" s="3">
        <f>Grafikon!$S23</f>
        <v>200</v>
      </c>
      <c r="E34" s="10">
        <f>IFERROR(VLOOKUP($B34,Súpravy!$A$6:$Q$31,6,FALSE),0)</f>
        <v>0</v>
      </c>
      <c r="F34" s="31">
        <f t="shared" si="4"/>
        <v>0</v>
      </c>
      <c r="G34" s="10">
        <f>IFERROR(VLOOKUP($B34,Súpravy!$A$6:$Q$31,3,FALSE),0)</f>
        <v>0</v>
      </c>
      <c r="H34" s="17">
        <f t="shared" si="6"/>
        <v>0</v>
      </c>
      <c r="I34" s="12">
        <f>IFERROR(VLOOKUP($B34,Súpravy!$A$6:$Q$31,9,FALSE),0)</f>
        <v>0</v>
      </c>
      <c r="J34" s="12">
        <f>IFERROR(VLOOKUP($B34,Súpravy!$A$6:$Q$31,12,FALSE),0)</f>
        <v>0</v>
      </c>
      <c r="K34" s="12">
        <f>IFERROR(VLOOKUP($B34,Súpravy!$A$6:$Q$31,17,FALSE),0)</f>
        <v>0</v>
      </c>
      <c r="L34" s="12">
        <f>IFERROR(VLOOKUP($B34,Súpravy!$A$6:$Q$31,18,FALSE),0)</f>
        <v>0</v>
      </c>
      <c r="M34" s="17">
        <f t="shared" si="5"/>
        <v>0</v>
      </c>
      <c r="N34" s="93">
        <f>IF(OR(C34=53.328,M34&lt;=80%),0,D34*(Ocenenie!$E$56*(M34)*(M34)*(M34)+Ocenenie!$E$57*(M34)*(M34)+Ocenenie!$E$58*(M34)-Ocenenie!$E$60))</f>
        <v>0</v>
      </c>
    </row>
    <row r="35" spans="1:14" x14ac:dyDescent="0.25">
      <c r="A35" s="1" t="str">
        <f>Grafikon!$M24</f>
        <v>Zr 1785</v>
      </c>
      <c r="B35" s="199"/>
      <c r="C35" s="2">
        <f>Grafikon!$O24</f>
        <v>100.175</v>
      </c>
      <c r="D35" s="3">
        <f>Grafikon!$S24</f>
        <v>100</v>
      </c>
      <c r="E35" s="10">
        <f>IFERROR(VLOOKUP($B35,Súpravy!$A$6:$Q$31,6,FALSE),0)</f>
        <v>0</v>
      </c>
      <c r="F35" s="31">
        <f t="shared" si="4"/>
        <v>0</v>
      </c>
      <c r="G35" s="10">
        <f>IFERROR(VLOOKUP($B35,Súpravy!$A$6:$Q$31,3,FALSE),0)</f>
        <v>0</v>
      </c>
      <c r="H35" s="17">
        <f t="shared" si="6"/>
        <v>0</v>
      </c>
      <c r="I35" s="12">
        <f>IFERROR(VLOOKUP($B35,Súpravy!$A$6:$Q$31,9,FALSE),0)</f>
        <v>0</v>
      </c>
      <c r="J35" s="12">
        <f>IFERROR(VLOOKUP($B35,Súpravy!$A$6:$Q$31,12,FALSE),0)</f>
        <v>0</v>
      </c>
      <c r="K35" s="12">
        <f>IFERROR(VLOOKUP($B35,Súpravy!$A$6:$Q$31,17,FALSE),0)</f>
        <v>0</v>
      </c>
      <c r="L35" s="12">
        <f>IFERROR(VLOOKUP($B35,Súpravy!$A$6:$Q$31,18,FALSE),0)</f>
        <v>0</v>
      </c>
      <c r="M35" s="17">
        <f t="shared" si="5"/>
        <v>0</v>
      </c>
      <c r="N35" s="93">
        <f>IF(OR(C35=53.328,M35&lt;=80%),0,D35*(Ocenenie!$E$56*(M35)*(M35)*(M35)+Ocenenie!$E$57*(M35)*(M35)+Ocenenie!$E$58*(M35)-Ocenenie!$E$60))</f>
        <v>0</v>
      </c>
    </row>
    <row r="36" spans="1:14" x14ac:dyDescent="0.25">
      <c r="A36" s="1" t="str">
        <f>Grafikon!$M25</f>
        <v>Os 4327</v>
      </c>
      <c r="B36" s="199"/>
      <c r="C36" s="2">
        <f>Grafikon!$O25</f>
        <v>46.847000000000001</v>
      </c>
      <c r="D36" s="3">
        <f>Grafikon!$S25</f>
        <v>200</v>
      </c>
      <c r="E36" s="10">
        <f>IFERROR(VLOOKUP($B36,Súpravy!$A$6:$Q$31,6,FALSE),0)</f>
        <v>0</v>
      </c>
      <c r="F36" s="31">
        <f t="shared" si="4"/>
        <v>0</v>
      </c>
      <c r="G36" s="10">
        <f>IFERROR(VLOOKUP($B36,Súpravy!$A$6:$Q$31,3,FALSE),0)</f>
        <v>0</v>
      </c>
      <c r="H36" s="17">
        <f t="shared" si="6"/>
        <v>0</v>
      </c>
      <c r="I36" s="12">
        <f>IFERROR(VLOOKUP($B36,Súpravy!$A$6:$Q$31,9,FALSE),0)</f>
        <v>0</v>
      </c>
      <c r="J36" s="12">
        <f>IFERROR(VLOOKUP($B36,Súpravy!$A$6:$Q$31,12,FALSE),0)</f>
        <v>0</v>
      </c>
      <c r="K36" s="12">
        <f>IFERROR(VLOOKUP($B36,Súpravy!$A$6:$Q$31,17,FALSE),0)</f>
        <v>0</v>
      </c>
      <c r="L36" s="12">
        <f>IFERROR(VLOOKUP($B36,Súpravy!$A$6:$Q$31,18,FALSE),0)</f>
        <v>0</v>
      </c>
      <c r="M36" s="17">
        <f t="shared" si="5"/>
        <v>0</v>
      </c>
      <c r="N36" s="93">
        <f>IF(OR(C36=53.328,M36&lt;=80%),0,D36*(Ocenenie!$E$56*(M36)*(M36)*(M36)+Ocenenie!$E$57*(M36)*(M36)+Ocenenie!$E$58*(M36)-Ocenenie!$E$60))</f>
        <v>0</v>
      </c>
    </row>
    <row r="37" spans="1:14" x14ac:dyDescent="0.25">
      <c r="A37" s="1" t="str">
        <f>Grafikon!$M26</f>
        <v>Os 4329</v>
      </c>
      <c r="B37" s="199"/>
      <c r="C37" s="2">
        <f>Grafikon!$O26</f>
        <v>46.847000000000001</v>
      </c>
      <c r="D37" s="3">
        <v>100</v>
      </c>
      <c r="E37" s="10">
        <f>IFERROR(VLOOKUP($B37,Súpravy!$A$6:$Q$31,6,FALSE),0)</f>
        <v>0</v>
      </c>
      <c r="F37" s="31">
        <f t="shared" si="4"/>
        <v>0</v>
      </c>
      <c r="G37" s="10">
        <f>IFERROR(VLOOKUP($B37,Súpravy!$A$6:$Q$31,3,FALSE),0)</f>
        <v>0</v>
      </c>
      <c r="H37" s="17">
        <f t="shared" si="6"/>
        <v>0</v>
      </c>
      <c r="I37" s="12">
        <f>IFERROR(VLOOKUP($B37,Súpravy!$A$6:$Q$31,9,FALSE),0)</f>
        <v>0</v>
      </c>
      <c r="J37" s="12">
        <f>IFERROR(VLOOKUP($B37,Súpravy!$A$6:$Q$31,12,FALSE),0)</f>
        <v>0</v>
      </c>
      <c r="K37" s="12">
        <f>IFERROR(VLOOKUP($B37,Súpravy!$A$6:$Q$31,17,FALSE),0)</f>
        <v>0</v>
      </c>
      <c r="L37" s="12">
        <f>IFERROR(VLOOKUP($B37,Súpravy!$A$6:$Q$31,18,FALSE),0)</f>
        <v>0</v>
      </c>
      <c r="M37" s="17">
        <f t="shared" si="5"/>
        <v>0</v>
      </c>
      <c r="N37" s="93">
        <f>IF(OR(C37=53.328,M37&lt;=80%),0,D37*(Ocenenie!$E$56*(M37)*(M37)*(M37)+Ocenenie!$E$57*(M37)*(M37)+Ocenenie!$E$58*(M37)-Ocenenie!$E$60))</f>
        <v>0</v>
      </c>
    </row>
    <row r="38" spans="1:14" x14ac:dyDescent="0.25">
      <c r="A38" s="1" t="str">
        <f>Grafikon!$M27</f>
        <v>Zr 1789</v>
      </c>
      <c r="B38" s="199"/>
      <c r="C38" s="2">
        <f>Grafikon!$O27</f>
        <v>100.175</v>
      </c>
      <c r="D38" s="3">
        <f>Grafikon!$S27</f>
        <v>100</v>
      </c>
      <c r="E38" s="10">
        <f>IFERROR(VLOOKUP($B38,Súpravy!$A$6:$Q$31,6,FALSE),0)</f>
        <v>0</v>
      </c>
      <c r="F38" s="31">
        <f t="shared" si="4"/>
        <v>0</v>
      </c>
      <c r="G38" s="10">
        <f>IFERROR(VLOOKUP($B38,Súpravy!$A$6:$Q$31,3,FALSE),0)</f>
        <v>0</v>
      </c>
      <c r="H38" s="17">
        <f t="shared" si="6"/>
        <v>0</v>
      </c>
      <c r="I38" s="12">
        <f>IFERROR(VLOOKUP($B38,Súpravy!$A$6:$Q$31,9,FALSE),0)</f>
        <v>0</v>
      </c>
      <c r="J38" s="12">
        <f>IFERROR(VLOOKUP($B38,Súpravy!$A$6:$Q$31,12,FALSE),0)</f>
        <v>0</v>
      </c>
      <c r="K38" s="12">
        <f>IFERROR(VLOOKUP($B38,Súpravy!$A$6:$Q$31,17,FALSE),0)</f>
        <v>0</v>
      </c>
      <c r="L38" s="12">
        <f>IFERROR(VLOOKUP($B38,Súpravy!$A$6:$Q$31,18,FALSE),0)</f>
        <v>0</v>
      </c>
      <c r="M38" s="17">
        <f t="shared" si="5"/>
        <v>0</v>
      </c>
      <c r="N38" s="93">
        <f>IF(OR(C38=53.328,M38&lt;=80%),0,D38*(Ocenenie!$E$56*(M38)*(M38)*(M38)+Ocenenie!$E$57*(M38)*(M38)+Ocenenie!$E$58*(M38)-Ocenenie!$E$60))</f>
        <v>0</v>
      </c>
    </row>
    <row r="39" spans="1:14" x14ac:dyDescent="0.25">
      <c r="A39" s="1" t="str">
        <f>Grafikon!$M28</f>
        <v>Os 4331</v>
      </c>
      <c r="B39" s="199"/>
      <c r="C39" s="2">
        <f>Grafikon!$O28</f>
        <v>46.847000000000001</v>
      </c>
      <c r="D39" s="3">
        <f>Grafikon!$S28</f>
        <v>100</v>
      </c>
      <c r="E39" s="10">
        <f>IFERROR(VLOOKUP($B39,Súpravy!$A$6:$Q$31,6,FALSE),0)</f>
        <v>0</v>
      </c>
      <c r="F39" s="31">
        <f t="shared" si="4"/>
        <v>0</v>
      </c>
      <c r="G39" s="10">
        <f>IFERROR(VLOOKUP($B39,Súpravy!$A$6:$Q$31,3,FALSE),0)</f>
        <v>0</v>
      </c>
      <c r="H39" s="17">
        <f t="shared" si="6"/>
        <v>0</v>
      </c>
      <c r="I39" s="12">
        <f>IFERROR(VLOOKUP($B39,Súpravy!$A$6:$Q$31,9,FALSE),0)</f>
        <v>0</v>
      </c>
      <c r="J39" s="12">
        <f>IFERROR(VLOOKUP($B39,Súpravy!$A$6:$Q$31,12,FALSE),0)</f>
        <v>0</v>
      </c>
      <c r="K39" s="12">
        <f>IFERROR(VLOOKUP($B39,Súpravy!$A$6:$Q$31,17,FALSE),0)</f>
        <v>0</v>
      </c>
      <c r="L39" s="12">
        <f>IFERROR(VLOOKUP($B39,Súpravy!$A$6:$Q$31,18,FALSE),0)</f>
        <v>0</v>
      </c>
      <c r="M39" s="17">
        <f t="shared" si="5"/>
        <v>0</v>
      </c>
      <c r="N39" s="93">
        <f>IF(OR(C39=53.328,M39&lt;=80%),0,D39*(Ocenenie!$E$56*(M39)*(M39)*(M39)+Ocenenie!$E$57*(M39)*(M39)+Ocenenie!$E$58*(M39)-Ocenenie!$E$60))</f>
        <v>0</v>
      </c>
    </row>
    <row r="40" spans="1:14" x14ac:dyDescent="0.25">
      <c r="A40" s="1" t="str">
        <f>Grafikon!$M29</f>
        <v>Os 4333</v>
      </c>
      <c r="B40" s="199"/>
      <c r="C40" s="2">
        <f>Grafikon!$O29</f>
        <v>46.847000000000001</v>
      </c>
      <c r="D40" s="3">
        <f>Grafikon!$S29</f>
        <v>100</v>
      </c>
      <c r="E40" s="10">
        <f>IFERROR(VLOOKUP($B40,Súpravy!$A$6:$Q$31,6,FALSE),0)</f>
        <v>0</v>
      </c>
      <c r="F40" s="31">
        <f t="shared" si="4"/>
        <v>0</v>
      </c>
      <c r="G40" s="10">
        <f>IFERROR(VLOOKUP($B40,Súpravy!$A$6:$Q$31,3,FALSE),0)</f>
        <v>0</v>
      </c>
      <c r="H40" s="17">
        <f t="shared" si="6"/>
        <v>0</v>
      </c>
      <c r="I40" s="12">
        <f>IFERROR(VLOOKUP($B40,Súpravy!$A$6:$Q$31,9,FALSE),0)</f>
        <v>0</v>
      </c>
      <c r="J40" s="12">
        <f>IFERROR(VLOOKUP($B40,Súpravy!$A$6:$Q$31,12,FALSE),0)</f>
        <v>0</v>
      </c>
      <c r="K40" s="12">
        <f>IFERROR(VLOOKUP($B40,Súpravy!$A$6:$Q$31,17,FALSE),0)</f>
        <v>0</v>
      </c>
      <c r="L40" s="12">
        <f>IFERROR(VLOOKUP($B40,Súpravy!$A$6:$Q$31,18,FALSE),0)</f>
        <v>0</v>
      </c>
      <c r="M40" s="17">
        <f t="shared" si="5"/>
        <v>0</v>
      </c>
      <c r="N40" s="93">
        <f>IF(OR(C40=53.328,M40&lt;=80%),0,D40*(Ocenenie!$E$56*(M40)*(M40)*(M40)+Ocenenie!$E$57*(M40)*(M40)+Ocenenie!$E$58*(M40)-Ocenenie!$E$60))</f>
        <v>0</v>
      </c>
    </row>
    <row r="41" spans="1:14" x14ac:dyDescent="0.25">
      <c r="A41" s="1" t="str">
        <f>Grafikon!$M30</f>
        <v>Os 4335</v>
      </c>
      <c r="B41" s="199"/>
      <c r="C41" s="2">
        <f>Grafikon!$O30</f>
        <v>46.847000000000001</v>
      </c>
      <c r="D41" s="3">
        <f>Grafikon!$S30</f>
        <v>100</v>
      </c>
      <c r="E41" s="10">
        <f>IFERROR(VLOOKUP($B41,Súpravy!$A$6:$Q$31,6,FALSE),0)</f>
        <v>0</v>
      </c>
      <c r="F41" s="31">
        <f t="shared" si="4"/>
        <v>0</v>
      </c>
      <c r="G41" s="10">
        <f>IFERROR(VLOOKUP($B41,Súpravy!$A$6:$Q$31,3,FALSE),0)</f>
        <v>0</v>
      </c>
      <c r="H41" s="17">
        <f t="shared" si="6"/>
        <v>0</v>
      </c>
      <c r="I41" s="12">
        <f>IFERROR(VLOOKUP($B41,Súpravy!$A$6:$Q$31,9,FALSE),0)</f>
        <v>0</v>
      </c>
      <c r="J41" s="12">
        <f>IFERROR(VLOOKUP($B41,Súpravy!$A$6:$Q$31,12,FALSE),0)</f>
        <v>0</v>
      </c>
      <c r="K41" s="12">
        <f>IFERROR(VLOOKUP($B41,Súpravy!$A$6:$Q$31,17,FALSE),0)</f>
        <v>0</v>
      </c>
      <c r="L41" s="12">
        <f>IFERROR(VLOOKUP($B41,Súpravy!$A$6:$Q$31,18,FALSE),0)</f>
        <v>0</v>
      </c>
      <c r="M41" s="17">
        <f t="shared" si="5"/>
        <v>0</v>
      </c>
      <c r="N41" s="93">
        <f>IF(OR(C41=53.328,M41&lt;=80%),0,D41*(Ocenenie!$E$56*(M41)*(M41)*(M41)+Ocenenie!$E$57*(M41)*(M41)+Ocenenie!$E$58*(M41)-Ocenenie!$E$60))</f>
        <v>0</v>
      </c>
    </row>
    <row r="42" spans="1:14" ht="18" customHeight="1" x14ac:dyDescent="0.25">
      <c r="A42" s="13" t="s">
        <v>136</v>
      </c>
      <c r="C42" s="2"/>
    </row>
    <row r="43" spans="1:14" x14ac:dyDescent="0.25">
      <c r="A43" s="1" t="str">
        <f>Grafikon!$M32</f>
        <v>Os 4300</v>
      </c>
      <c r="B43" s="199"/>
      <c r="C43" s="2">
        <f>Grafikon!$O32</f>
        <v>46.847000000000001</v>
      </c>
      <c r="D43" s="3">
        <f>Grafikon!$S32</f>
        <v>200</v>
      </c>
      <c r="E43" s="10">
        <f>IFERROR(VLOOKUP($B43,Súpravy!$A$6:$Q$31,6,FALSE),0)</f>
        <v>0</v>
      </c>
      <c r="F43" s="31">
        <f t="shared" ref="F43:F69" si="7">MIN(E43/D43,1)</f>
        <v>0</v>
      </c>
      <c r="G43" s="10">
        <f>IFERROR(VLOOKUP($B43,Súpravy!$A$6:$Q$31,3,FALSE),0)</f>
        <v>0</v>
      </c>
      <c r="H43" s="17">
        <f t="shared" si="6"/>
        <v>0</v>
      </c>
      <c r="I43" s="12">
        <f>IFERROR(VLOOKUP($B43,Súpravy!$A$6:$Q$31,9,FALSE),0)</f>
        <v>0</v>
      </c>
      <c r="J43" s="12">
        <f>IFERROR(VLOOKUP($B43,Súpravy!$A$6:$Q$31,12,FALSE),0)</f>
        <v>0</v>
      </c>
      <c r="K43" s="12">
        <f>IFERROR(VLOOKUP($B43,Súpravy!$A$6:$Q$31,17,FALSE),0)</f>
        <v>0</v>
      </c>
      <c r="L43" s="12">
        <f>IFERROR(VLOOKUP($B43,Súpravy!$A$6:$Q$31,18,FALSE),0)</f>
        <v>0</v>
      </c>
      <c r="M43" s="17">
        <f>IFERROR(D43/G43,0)</f>
        <v>0</v>
      </c>
      <c r="N43" s="93">
        <f>IF(OR(C43=53.328,M43&lt;=80%),0,D43*(Ocenenie!$E$56*(M43)*(M43)*(M43)+Ocenenie!$E$57*(M43)*(M43)+Ocenenie!$E$58*(M43)-Ocenenie!$E$60))</f>
        <v>0</v>
      </c>
    </row>
    <row r="44" spans="1:14" x14ac:dyDescent="0.25">
      <c r="A44" s="1" t="str">
        <f>Grafikon!$M33</f>
        <v>Os 4370</v>
      </c>
      <c r="B44" s="199"/>
      <c r="C44" s="2">
        <f>Grafikon!$O33</f>
        <v>53.328000000000003</v>
      </c>
      <c r="D44" s="101">
        <f>Grafikon!$S33</f>
        <v>200</v>
      </c>
      <c r="E44" s="10">
        <f>IFERROR(VLOOKUP($B44,Súpravy!$A$6:$Q$31,6,FALSE),0)</f>
        <v>0</v>
      </c>
      <c r="F44" s="31">
        <f t="shared" si="7"/>
        <v>0</v>
      </c>
      <c r="G44" s="10">
        <f>IFERROR(VLOOKUP($B44,Súpravy!$A$6:$Q$31,3,FALSE),0)</f>
        <v>0</v>
      </c>
      <c r="H44" s="17">
        <f t="shared" si="6"/>
        <v>0</v>
      </c>
      <c r="I44" s="12">
        <f>IFERROR(VLOOKUP($B44,Súpravy!$A$6:$Q$31,9,FALSE),0)</f>
        <v>0</v>
      </c>
      <c r="J44" s="12">
        <f>IFERROR(VLOOKUP($B44,Súpravy!$A$6:$Q$31,12,FALSE),0)</f>
        <v>0</v>
      </c>
      <c r="K44" s="12">
        <f>IFERROR(VLOOKUP($B44,Súpravy!$A$6:$Q$31,17,FALSE),0)</f>
        <v>0</v>
      </c>
      <c r="L44" s="12">
        <f>IFERROR(VLOOKUP($B44,Súpravy!$A$6:$Q$31,18,FALSE),0)</f>
        <v>0</v>
      </c>
      <c r="M44" s="17">
        <f t="shared" ref="M44:M69" si="8">IFERROR(D44/G44,0)</f>
        <v>0</v>
      </c>
      <c r="N44" s="93">
        <f>IF(OR(C44=53.328,M44&lt;=80%),0,D44*(Ocenenie!$E$56*(M44)*(M44)*(M44)+Ocenenie!$E$57*(M44)*(M44)+Ocenenie!$E$58*(M44)-Ocenenie!$E$60))</f>
        <v>0</v>
      </c>
    </row>
    <row r="45" spans="1:14" x14ac:dyDescent="0.25">
      <c r="A45" s="1" t="str">
        <f>Grafikon!$M34</f>
        <v>Os 4302</v>
      </c>
      <c r="B45" s="199"/>
      <c r="C45" s="2">
        <f>Grafikon!$O34</f>
        <v>46.847000000000001</v>
      </c>
      <c r="D45" s="101">
        <f>Grafikon!$S34</f>
        <v>200</v>
      </c>
      <c r="E45" s="10">
        <f>IFERROR(VLOOKUP($B45,Súpravy!$A$6:$Q$31,6,FALSE),0)</f>
        <v>0</v>
      </c>
      <c r="F45" s="31">
        <f t="shared" si="7"/>
        <v>0</v>
      </c>
      <c r="G45" s="10">
        <f>IFERROR(VLOOKUP($B45,Súpravy!$A$6:$Q$31,3,FALSE),0)</f>
        <v>0</v>
      </c>
      <c r="H45" s="17">
        <f t="shared" si="6"/>
        <v>0</v>
      </c>
      <c r="I45" s="12">
        <f>IFERROR(VLOOKUP($B45,Súpravy!$A$6:$Q$31,9,FALSE),0)</f>
        <v>0</v>
      </c>
      <c r="J45" s="12">
        <f>IFERROR(VLOOKUP($B45,Súpravy!$A$6:$Q$31,12,FALSE),0)</f>
        <v>0</v>
      </c>
      <c r="K45" s="12">
        <f>IFERROR(VLOOKUP($B45,Súpravy!$A$6:$Q$31,17,FALSE),0)</f>
        <v>0</v>
      </c>
      <c r="L45" s="12">
        <f>IFERROR(VLOOKUP($B45,Súpravy!$A$6:$Q$31,18,FALSE),0)</f>
        <v>0</v>
      </c>
      <c r="M45" s="17">
        <f t="shared" si="8"/>
        <v>0</v>
      </c>
      <c r="N45" s="93">
        <f>IF(OR(C45=53.328,M45&lt;=80%),0,D45*(Ocenenie!$E$56*(M45)*(M45)*(M45)+Ocenenie!$E$57*(M45)*(M45)+Ocenenie!$E$58*(M45)-Ocenenie!$E$60))</f>
        <v>0</v>
      </c>
    </row>
    <row r="46" spans="1:14" x14ac:dyDescent="0.25">
      <c r="A46" s="1" t="str">
        <f>Grafikon!$M35</f>
        <v>Os 4304</v>
      </c>
      <c r="B46" s="199"/>
      <c r="C46" s="2">
        <f>Grafikon!$O35</f>
        <v>46.847000000000001</v>
      </c>
      <c r="D46" s="101">
        <f>Grafikon!$S35</f>
        <v>200</v>
      </c>
      <c r="E46" s="10">
        <f>IFERROR(VLOOKUP($B46,Súpravy!$A$6:$Q$31,6,FALSE),0)</f>
        <v>0</v>
      </c>
      <c r="F46" s="31">
        <f t="shared" si="7"/>
        <v>0</v>
      </c>
      <c r="G46" s="10">
        <f>IFERROR(VLOOKUP($B46,Súpravy!$A$6:$Q$31,3,FALSE),0)</f>
        <v>0</v>
      </c>
      <c r="H46" s="17">
        <f t="shared" si="6"/>
        <v>0</v>
      </c>
      <c r="I46" s="12">
        <f>IFERROR(VLOOKUP($B46,Súpravy!$A$6:$Q$31,9,FALSE),0)</f>
        <v>0</v>
      </c>
      <c r="J46" s="12">
        <f>IFERROR(VLOOKUP($B46,Súpravy!$A$6:$Q$31,12,FALSE),0)</f>
        <v>0</v>
      </c>
      <c r="K46" s="12">
        <f>IFERROR(VLOOKUP($B46,Súpravy!$A$6:$Q$31,17,FALSE),0)</f>
        <v>0</v>
      </c>
      <c r="L46" s="12">
        <f>IFERROR(VLOOKUP($B46,Súpravy!$A$6:$Q$31,18,FALSE),0)</f>
        <v>0</v>
      </c>
      <c r="M46" s="17">
        <f t="shared" si="8"/>
        <v>0</v>
      </c>
      <c r="N46" s="93">
        <f>IF(OR(C46=53.328,M46&lt;=80%),0,D46*(Ocenenie!$E$56*(M46)*(M46)*(M46)+Ocenenie!$E$57*(M46)*(M46)+Ocenenie!$E$58*(M46)-Ocenenie!$E$60))</f>
        <v>0</v>
      </c>
    </row>
    <row r="47" spans="1:14" x14ac:dyDescent="0.25">
      <c r="A47" s="1" t="str">
        <f>Grafikon!$M36</f>
        <v>Zr 1764</v>
      </c>
      <c r="B47" s="199"/>
      <c r="C47" s="2">
        <f>Grafikon!$O36</f>
        <v>100.175</v>
      </c>
      <c r="D47" s="101">
        <f>Grafikon!$S36</f>
        <v>200</v>
      </c>
      <c r="E47" s="10">
        <f>IFERROR(VLOOKUP($B47,Súpravy!$A$6:$Q$31,6,FALSE),0)</f>
        <v>0</v>
      </c>
      <c r="F47" s="31">
        <f t="shared" si="7"/>
        <v>0</v>
      </c>
      <c r="G47" s="10">
        <f>IFERROR(VLOOKUP($B47,Súpravy!$A$6:$Q$31,3,FALSE),0)</f>
        <v>0</v>
      </c>
      <c r="H47" s="17">
        <f t="shared" si="6"/>
        <v>0</v>
      </c>
      <c r="I47" s="12">
        <f>IFERROR(VLOOKUP($B47,Súpravy!$A$6:$Q$31,9,FALSE),0)</f>
        <v>0</v>
      </c>
      <c r="J47" s="12">
        <f>IFERROR(VLOOKUP($B47,Súpravy!$A$6:$Q$31,12,FALSE),0)</f>
        <v>0</v>
      </c>
      <c r="K47" s="12">
        <f>IFERROR(VLOOKUP($B47,Súpravy!$A$6:$Q$31,17,FALSE),0)</f>
        <v>0</v>
      </c>
      <c r="L47" s="12">
        <f>IFERROR(VLOOKUP($B47,Súpravy!$A$6:$Q$31,18,FALSE),0)</f>
        <v>0</v>
      </c>
      <c r="M47" s="17">
        <f t="shared" si="8"/>
        <v>0</v>
      </c>
      <c r="N47" s="93">
        <f>IF(OR(C47=53.328,M47&lt;=80%),0,D47*(Ocenenie!$E$56*(M47)*(M47)*(M47)+Ocenenie!$E$57*(M47)*(M47)+Ocenenie!$E$58*(M47)-Ocenenie!$E$60))</f>
        <v>0</v>
      </c>
    </row>
    <row r="48" spans="1:14" x14ac:dyDescent="0.25">
      <c r="A48" s="1" t="str">
        <f>Grafikon!$M37</f>
        <v>Os 4306</v>
      </c>
      <c r="B48" s="199"/>
      <c r="C48" s="2">
        <f>Grafikon!$O37</f>
        <v>46.847000000000001</v>
      </c>
      <c r="D48" s="101">
        <f>Grafikon!$S37</f>
        <v>200</v>
      </c>
      <c r="E48" s="10">
        <f>IFERROR(VLOOKUP($B48,Súpravy!$A$6:$Q$31,6,FALSE),0)</f>
        <v>0</v>
      </c>
      <c r="F48" s="31">
        <f t="shared" si="7"/>
        <v>0</v>
      </c>
      <c r="G48" s="10">
        <f>IFERROR(VLOOKUP($B48,Súpravy!$A$6:$Q$31,3,FALSE),0)</f>
        <v>0</v>
      </c>
      <c r="H48" s="17">
        <f t="shared" si="6"/>
        <v>0</v>
      </c>
      <c r="I48" s="12">
        <f>IFERROR(VLOOKUP($B48,Súpravy!$A$6:$Q$31,9,FALSE),0)</f>
        <v>0</v>
      </c>
      <c r="J48" s="12">
        <f>IFERROR(VLOOKUP($B48,Súpravy!$A$6:$Q$31,12,FALSE),0)</f>
        <v>0</v>
      </c>
      <c r="K48" s="12">
        <f>IFERROR(VLOOKUP($B48,Súpravy!$A$6:$Q$31,17,FALSE),0)</f>
        <v>0</v>
      </c>
      <c r="L48" s="12">
        <f>IFERROR(VLOOKUP($B48,Súpravy!$A$6:$Q$31,18,FALSE),0)</f>
        <v>0</v>
      </c>
      <c r="M48" s="17">
        <f t="shared" si="8"/>
        <v>0</v>
      </c>
      <c r="N48" s="93">
        <f>IF(OR(C48=53.328,M48&lt;=80%),0,D48*(Ocenenie!$E$56*(M48)*(M48)*(M48)+Ocenenie!$E$57*(M48)*(M48)+Ocenenie!$E$58*(M48)-Ocenenie!$E$60))</f>
        <v>0</v>
      </c>
    </row>
    <row r="49" spans="1:14" x14ac:dyDescent="0.25">
      <c r="A49" s="1" t="str">
        <f>Grafikon!$M38</f>
        <v>Os 4308</v>
      </c>
      <c r="B49" s="199"/>
      <c r="C49" s="2">
        <f>Grafikon!$O38</f>
        <v>46.847000000000001</v>
      </c>
      <c r="D49" s="101">
        <f>Grafikon!$S38</f>
        <v>100</v>
      </c>
      <c r="E49" s="10">
        <f>IFERROR(VLOOKUP($B49,Súpravy!$A$6:$Q$31,6,FALSE),0)</f>
        <v>0</v>
      </c>
      <c r="F49" s="31">
        <f t="shared" si="7"/>
        <v>0</v>
      </c>
      <c r="G49" s="10">
        <f>IFERROR(VLOOKUP($B49,Súpravy!$A$6:$Q$31,3,FALSE),0)</f>
        <v>0</v>
      </c>
      <c r="H49" s="17">
        <f t="shared" si="6"/>
        <v>0</v>
      </c>
      <c r="I49" s="12">
        <f>IFERROR(VLOOKUP($B49,Súpravy!$A$6:$Q$31,9,FALSE),0)</f>
        <v>0</v>
      </c>
      <c r="J49" s="12">
        <f>IFERROR(VLOOKUP($B49,Súpravy!$A$6:$Q$31,12,FALSE),0)</f>
        <v>0</v>
      </c>
      <c r="K49" s="12">
        <f>IFERROR(VLOOKUP($B49,Súpravy!$A$6:$Q$31,17,FALSE),0)</f>
        <v>0</v>
      </c>
      <c r="L49" s="12">
        <f>IFERROR(VLOOKUP($B49,Súpravy!$A$6:$Q$31,18,FALSE),0)</f>
        <v>0</v>
      </c>
      <c r="M49" s="17">
        <f t="shared" si="8"/>
        <v>0</v>
      </c>
      <c r="N49" s="93">
        <f>IF(OR(C49=53.328,M49&lt;=80%),0,D49*(Ocenenie!$E$56*(M49)*(M49)*(M49)+Ocenenie!$E$57*(M49)*(M49)+Ocenenie!$E$58*(M49)-Ocenenie!$E$60))</f>
        <v>0</v>
      </c>
    </row>
    <row r="50" spans="1:14" x14ac:dyDescent="0.25">
      <c r="A50" s="1" t="str">
        <f>Grafikon!$M39</f>
        <v>Zr 1768</v>
      </c>
      <c r="B50" s="199"/>
      <c r="C50" s="2">
        <f>Grafikon!$O39</f>
        <v>100.175</v>
      </c>
      <c r="D50" s="101">
        <f>Grafikon!$S39</f>
        <v>100</v>
      </c>
      <c r="E50" s="10">
        <f>IFERROR(VLOOKUP($B50,Súpravy!$A$6:$Q$31,6,FALSE),0)</f>
        <v>0</v>
      </c>
      <c r="F50" s="31">
        <f t="shared" si="7"/>
        <v>0</v>
      </c>
      <c r="G50" s="10">
        <f>IFERROR(VLOOKUP($B50,Súpravy!$A$6:$Q$31,3,FALSE),0)</f>
        <v>0</v>
      </c>
      <c r="H50" s="17">
        <f t="shared" si="6"/>
        <v>0</v>
      </c>
      <c r="I50" s="12">
        <f>IFERROR(VLOOKUP($B50,Súpravy!$A$6:$Q$31,9,FALSE),0)</f>
        <v>0</v>
      </c>
      <c r="J50" s="12">
        <f>IFERROR(VLOOKUP($B50,Súpravy!$A$6:$Q$31,12,FALSE),0)</f>
        <v>0</v>
      </c>
      <c r="K50" s="12">
        <f>IFERROR(VLOOKUP($B50,Súpravy!$A$6:$Q$31,17,FALSE),0)</f>
        <v>0</v>
      </c>
      <c r="L50" s="12">
        <f>IFERROR(VLOOKUP($B50,Súpravy!$A$6:$Q$31,18,FALSE),0)</f>
        <v>0</v>
      </c>
      <c r="M50" s="17">
        <f t="shared" si="8"/>
        <v>0</v>
      </c>
      <c r="N50" s="93">
        <f>IF(OR(C50=53.328,M50&lt;=80%),0,D50*(Ocenenie!$E$56*(M50)*(M50)*(M50)+Ocenenie!$E$57*(M50)*(M50)+Ocenenie!$E$58*(M50)-Ocenenie!$E$60))</f>
        <v>0</v>
      </c>
    </row>
    <row r="51" spans="1:14" x14ac:dyDescent="0.25">
      <c r="A51" s="1" t="str">
        <f>Grafikon!$M40</f>
        <v>Os 4310</v>
      </c>
      <c r="B51" s="199"/>
      <c r="C51" s="2">
        <f>Grafikon!$O40</f>
        <v>46.847000000000001</v>
      </c>
      <c r="D51" s="101">
        <f>Grafikon!$S40</f>
        <v>100</v>
      </c>
      <c r="E51" s="10">
        <f>IFERROR(VLOOKUP($B51,Súpravy!$A$6:$Q$31,6,FALSE),0)</f>
        <v>0</v>
      </c>
      <c r="F51" s="31">
        <f t="shared" si="7"/>
        <v>0</v>
      </c>
      <c r="G51" s="10">
        <f>IFERROR(VLOOKUP($B51,Súpravy!$A$6:$Q$31,3,FALSE),0)</f>
        <v>0</v>
      </c>
      <c r="H51" s="17">
        <f t="shared" si="6"/>
        <v>0</v>
      </c>
      <c r="I51" s="12">
        <f>IFERROR(VLOOKUP($B51,Súpravy!$A$6:$Q$31,9,FALSE),0)</f>
        <v>0</v>
      </c>
      <c r="J51" s="12">
        <f>IFERROR(VLOOKUP($B51,Súpravy!$A$6:$Q$31,12,FALSE),0)</f>
        <v>0</v>
      </c>
      <c r="K51" s="12">
        <f>IFERROR(VLOOKUP($B51,Súpravy!$A$6:$Q$31,17,FALSE),0)</f>
        <v>0</v>
      </c>
      <c r="L51" s="12">
        <f>IFERROR(VLOOKUP($B51,Súpravy!$A$6:$Q$31,18,FALSE),0)</f>
        <v>0</v>
      </c>
      <c r="M51" s="17">
        <f t="shared" si="8"/>
        <v>0</v>
      </c>
      <c r="N51" s="93">
        <f>IF(OR(C51=53.328,M51&lt;=80%),0,D51*(Ocenenie!$E$56*(M51)*(M51)*(M51)+Ocenenie!$E$57*(M51)*(M51)+Ocenenie!$E$58*(M51)-Ocenenie!$E$60))</f>
        <v>0</v>
      </c>
    </row>
    <row r="52" spans="1:14" x14ac:dyDescent="0.25">
      <c r="A52" s="1" t="str">
        <f>Grafikon!$M41</f>
        <v>Os 4312</v>
      </c>
      <c r="B52" s="199"/>
      <c r="C52" s="2">
        <f>Grafikon!$O41</f>
        <v>46.847000000000001</v>
      </c>
      <c r="D52" s="101">
        <f>Grafikon!$S41</f>
        <v>100</v>
      </c>
      <c r="E52" s="10">
        <f>IFERROR(VLOOKUP($B52,Súpravy!$A$6:$Q$31,6,FALSE),0)</f>
        <v>0</v>
      </c>
      <c r="F52" s="31">
        <f t="shared" si="7"/>
        <v>0</v>
      </c>
      <c r="G52" s="10">
        <f>IFERROR(VLOOKUP($B52,Súpravy!$A$6:$Q$31,3,FALSE),0)</f>
        <v>0</v>
      </c>
      <c r="H52" s="17">
        <f t="shared" si="6"/>
        <v>0</v>
      </c>
      <c r="I52" s="12">
        <f>IFERROR(VLOOKUP($B52,Súpravy!$A$6:$Q$31,9,FALSE),0)</f>
        <v>0</v>
      </c>
      <c r="J52" s="12">
        <f>IFERROR(VLOOKUP($B52,Súpravy!$A$6:$Q$31,12,FALSE),0)</f>
        <v>0</v>
      </c>
      <c r="K52" s="12">
        <f>IFERROR(VLOOKUP($B52,Súpravy!$A$6:$Q$31,17,FALSE),0)</f>
        <v>0</v>
      </c>
      <c r="L52" s="12">
        <f>IFERROR(VLOOKUP($B52,Súpravy!$A$6:$Q$31,18,FALSE),0)</f>
        <v>0</v>
      </c>
      <c r="M52" s="17">
        <f t="shared" si="8"/>
        <v>0</v>
      </c>
      <c r="N52" s="93">
        <f>IF(OR(C52=53.328,M52&lt;=80%),0,D52*(Ocenenie!$E$56*(M52)*(M52)*(M52)+Ocenenie!$E$57*(M52)*(M52)+Ocenenie!$E$58*(M52)-Ocenenie!$E$60))</f>
        <v>0</v>
      </c>
    </row>
    <row r="53" spans="1:14" x14ac:dyDescent="0.25">
      <c r="A53" s="1" t="str">
        <f>Grafikon!$M42</f>
        <v>Zr 1772</v>
      </c>
      <c r="B53" s="199"/>
      <c r="C53" s="2">
        <f>Grafikon!$O42</f>
        <v>100.175</v>
      </c>
      <c r="D53" s="101">
        <f>Grafikon!$S42</f>
        <v>100</v>
      </c>
      <c r="E53" s="10">
        <f>IFERROR(VLOOKUP($B53,Súpravy!$A$6:$Q$31,6,FALSE),0)</f>
        <v>0</v>
      </c>
      <c r="F53" s="31">
        <f t="shared" si="7"/>
        <v>0</v>
      </c>
      <c r="G53" s="10">
        <f>IFERROR(VLOOKUP($B53,Súpravy!$A$6:$Q$31,3,FALSE),0)</f>
        <v>0</v>
      </c>
      <c r="H53" s="17">
        <f t="shared" si="6"/>
        <v>0</v>
      </c>
      <c r="I53" s="12">
        <f>IFERROR(VLOOKUP($B53,Súpravy!$A$6:$Q$31,9,FALSE),0)</f>
        <v>0</v>
      </c>
      <c r="J53" s="12">
        <f>IFERROR(VLOOKUP($B53,Súpravy!$A$6:$Q$31,12,FALSE),0)</f>
        <v>0</v>
      </c>
      <c r="K53" s="12">
        <f>IFERROR(VLOOKUP($B53,Súpravy!$A$6:$Q$31,17,FALSE),0)</f>
        <v>0</v>
      </c>
      <c r="L53" s="12">
        <f>IFERROR(VLOOKUP($B53,Súpravy!$A$6:$Q$31,18,FALSE),0)</f>
        <v>0</v>
      </c>
      <c r="M53" s="17">
        <f t="shared" si="8"/>
        <v>0</v>
      </c>
      <c r="N53" s="93">
        <f>IF(OR(C53=53.328,M53&lt;=80%),0,D53*(Ocenenie!$E$56*(M53)*(M53)*(M53)+Ocenenie!$E$57*(M53)*(M53)+Ocenenie!$E$58*(M53)-Ocenenie!$E$60))</f>
        <v>0</v>
      </c>
    </row>
    <row r="54" spans="1:14" x14ac:dyDescent="0.25">
      <c r="A54" s="1" t="str">
        <f>Grafikon!$M43</f>
        <v>Os 4314</v>
      </c>
      <c r="B54" s="199"/>
      <c r="C54" s="2">
        <f>Grafikon!$O43</f>
        <v>46.847000000000001</v>
      </c>
      <c r="D54" s="101">
        <f>Grafikon!$S43</f>
        <v>200</v>
      </c>
      <c r="E54" s="10">
        <f>IFERROR(VLOOKUP($B54,Súpravy!$A$6:$Q$31,6,FALSE),0)</f>
        <v>0</v>
      </c>
      <c r="F54" s="31">
        <f t="shared" si="7"/>
        <v>0</v>
      </c>
      <c r="G54" s="10">
        <f>IFERROR(VLOOKUP($B54,Súpravy!$A$6:$Q$31,3,FALSE),0)</f>
        <v>0</v>
      </c>
      <c r="H54" s="17">
        <f t="shared" si="6"/>
        <v>0</v>
      </c>
      <c r="I54" s="12">
        <f>IFERROR(VLOOKUP($B54,Súpravy!$A$6:$Q$31,9,FALSE),0)</f>
        <v>0</v>
      </c>
      <c r="J54" s="12">
        <f>IFERROR(VLOOKUP($B54,Súpravy!$A$6:$Q$31,12,FALSE),0)</f>
        <v>0</v>
      </c>
      <c r="K54" s="12">
        <f>IFERROR(VLOOKUP($B54,Súpravy!$A$6:$Q$31,17,FALSE),0)</f>
        <v>0</v>
      </c>
      <c r="L54" s="12">
        <f>IFERROR(VLOOKUP($B54,Súpravy!$A$6:$Q$31,18,FALSE),0)</f>
        <v>0</v>
      </c>
      <c r="M54" s="17">
        <f t="shared" si="8"/>
        <v>0</v>
      </c>
      <c r="N54" s="93">
        <f>IF(OR(C54=53.328,M54&lt;=80%),0,D54*(Ocenenie!$E$56*(M54)*(M54)*(M54)+Ocenenie!$E$57*(M54)*(M54)+Ocenenie!$E$58*(M54)-Ocenenie!$E$60))</f>
        <v>0</v>
      </c>
    </row>
    <row r="55" spans="1:14" x14ac:dyDescent="0.25">
      <c r="A55" s="1" t="str">
        <f>Grafikon!$M44</f>
        <v>Os 4316</v>
      </c>
      <c r="B55" s="199"/>
      <c r="C55" s="2">
        <f>Grafikon!$O44</f>
        <v>46.847000000000001</v>
      </c>
      <c r="D55" s="101">
        <f>Grafikon!$S44</f>
        <v>200</v>
      </c>
      <c r="E55" s="10">
        <f>IFERROR(VLOOKUP($B55,Súpravy!$A$6:$Q$31,6,FALSE),0)</f>
        <v>0</v>
      </c>
      <c r="F55" s="31">
        <f t="shared" si="7"/>
        <v>0</v>
      </c>
      <c r="G55" s="10">
        <f>IFERROR(VLOOKUP($B55,Súpravy!$A$6:$Q$31,3,FALSE),0)</f>
        <v>0</v>
      </c>
      <c r="H55" s="17">
        <f t="shared" si="6"/>
        <v>0</v>
      </c>
      <c r="I55" s="12">
        <f>IFERROR(VLOOKUP($B55,Súpravy!$A$6:$Q$31,9,FALSE),0)</f>
        <v>0</v>
      </c>
      <c r="J55" s="12">
        <f>IFERROR(VLOOKUP($B55,Súpravy!$A$6:$Q$31,12,FALSE),0)</f>
        <v>0</v>
      </c>
      <c r="K55" s="12">
        <f>IFERROR(VLOOKUP($B55,Súpravy!$A$6:$Q$31,17,FALSE),0)</f>
        <v>0</v>
      </c>
      <c r="L55" s="12">
        <f>IFERROR(VLOOKUP($B55,Súpravy!$A$6:$Q$31,18,FALSE),0)</f>
        <v>0</v>
      </c>
      <c r="M55" s="17">
        <f t="shared" si="8"/>
        <v>0</v>
      </c>
      <c r="N55" s="93">
        <f>IF(OR(C55=53.328,M55&lt;=80%),0,D55*(Ocenenie!$E$56*(M55)*(M55)*(M55)+Ocenenie!$E$57*(M55)*(M55)+Ocenenie!$E$58*(M55)-Ocenenie!$E$60))</f>
        <v>0</v>
      </c>
    </row>
    <row r="56" spans="1:14" x14ac:dyDescent="0.25">
      <c r="A56" s="1" t="str">
        <f>Grafikon!$M45</f>
        <v>Zr 1776</v>
      </c>
      <c r="B56" s="199"/>
      <c r="C56" s="2">
        <f>Grafikon!$O45</f>
        <v>100.175</v>
      </c>
      <c r="D56" s="101">
        <f>Grafikon!$S45</f>
        <v>100</v>
      </c>
      <c r="E56" s="10">
        <f>IFERROR(VLOOKUP($B56,Súpravy!$A$6:$Q$31,6,FALSE),0)</f>
        <v>0</v>
      </c>
      <c r="F56" s="31">
        <f t="shared" si="7"/>
        <v>0</v>
      </c>
      <c r="G56" s="10">
        <f>IFERROR(VLOOKUP($B56,Súpravy!$A$6:$Q$31,3,FALSE),0)</f>
        <v>0</v>
      </c>
      <c r="H56" s="17">
        <f t="shared" si="6"/>
        <v>0</v>
      </c>
      <c r="I56" s="12">
        <f>IFERROR(VLOOKUP($B56,Súpravy!$A$6:$Q$31,9,FALSE),0)</f>
        <v>0</v>
      </c>
      <c r="J56" s="12">
        <f>IFERROR(VLOOKUP($B56,Súpravy!$A$6:$Q$31,12,FALSE),0)</f>
        <v>0</v>
      </c>
      <c r="K56" s="12">
        <f>IFERROR(VLOOKUP($B56,Súpravy!$A$6:$Q$31,17,FALSE),0)</f>
        <v>0</v>
      </c>
      <c r="L56" s="12">
        <f>IFERROR(VLOOKUP($B56,Súpravy!$A$6:$Q$31,18,FALSE),0)</f>
        <v>0</v>
      </c>
      <c r="M56" s="17">
        <f t="shared" si="8"/>
        <v>0</v>
      </c>
      <c r="N56" s="93">
        <f>IF(OR(C56=53.328,M56&lt;=80%),0,D56*(Ocenenie!$E$56*(M56)*(M56)*(M56)+Ocenenie!$E$57*(M56)*(M56)+Ocenenie!$E$58*(M56)-Ocenenie!$E$60))</f>
        <v>0</v>
      </c>
    </row>
    <row r="57" spans="1:14" x14ac:dyDescent="0.25">
      <c r="A57" s="1" t="str">
        <f>Grafikon!$M46</f>
        <v>Os 4318</v>
      </c>
      <c r="B57" s="199"/>
      <c r="C57" s="2">
        <f>Grafikon!$O46</f>
        <v>46.847000000000001</v>
      </c>
      <c r="D57" s="101">
        <f>Grafikon!$S46</f>
        <v>200</v>
      </c>
      <c r="E57" s="10">
        <f>IFERROR(VLOOKUP($B57,Súpravy!$A$6:$Q$31,6,FALSE),0)</f>
        <v>0</v>
      </c>
      <c r="F57" s="31">
        <f t="shared" si="7"/>
        <v>0</v>
      </c>
      <c r="G57" s="10">
        <f>IFERROR(VLOOKUP($B57,Súpravy!$A$6:$Q$31,3,FALSE),0)</f>
        <v>0</v>
      </c>
      <c r="H57" s="17">
        <f t="shared" si="6"/>
        <v>0</v>
      </c>
      <c r="I57" s="12">
        <f>IFERROR(VLOOKUP($B57,Súpravy!$A$6:$Q$31,9,FALSE),0)</f>
        <v>0</v>
      </c>
      <c r="J57" s="12">
        <f>IFERROR(VLOOKUP($B57,Súpravy!$A$6:$Q$31,12,FALSE),0)</f>
        <v>0</v>
      </c>
      <c r="K57" s="12">
        <f>IFERROR(VLOOKUP($B57,Súpravy!$A$6:$Q$31,17,FALSE),0)</f>
        <v>0</v>
      </c>
      <c r="L57" s="12">
        <f>IFERROR(VLOOKUP($B57,Súpravy!$A$6:$Q$31,18,FALSE),0)</f>
        <v>0</v>
      </c>
      <c r="M57" s="17">
        <f t="shared" si="8"/>
        <v>0</v>
      </c>
      <c r="N57" s="93">
        <f>IF(OR(C57=53.328,M57&lt;=80%),0,D57*(Ocenenie!$E$56*(M57)*(M57)*(M57)+Ocenenie!$E$57*(M57)*(M57)+Ocenenie!$E$58*(M57)-Ocenenie!$E$60))</f>
        <v>0</v>
      </c>
    </row>
    <row r="58" spans="1:14" x14ac:dyDescent="0.25">
      <c r="A58" s="1" t="str">
        <f>Grafikon!$M47</f>
        <v>Os 4320</v>
      </c>
      <c r="B58" s="199"/>
      <c r="C58" s="2">
        <f>Grafikon!$O47</f>
        <v>46.847000000000001</v>
      </c>
      <c r="D58" s="101">
        <f>Grafikon!$S47</f>
        <v>200</v>
      </c>
      <c r="E58" s="10">
        <f>IFERROR(VLOOKUP($B58,Súpravy!$A$6:$Q$31,6,FALSE),0)</f>
        <v>0</v>
      </c>
      <c r="F58" s="31">
        <f t="shared" si="7"/>
        <v>0</v>
      </c>
      <c r="G58" s="10">
        <f>IFERROR(VLOOKUP($B58,Súpravy!$A$6:$Q$31,3,FALSE),0)</f>
        <v>0</v>
      </c>
      <c r="H58" s="17">
        <f t="shared" si="6"/>
        <v>0</v>
      </c>
      <c r="I58" s="12">
        <f>IFERROR(VLOOKUP($B58,Súpravy!$A$6:$Q$31,9,FALSE),0)</f>
        <v>0</v>
      </c>
      <c r="J58" s="12">
        <f>IFERROR(VLOOKUP($B58,Súpravy!$A$6:$Q$31,12,FALSE),0)</f>
        <v>0</v>
      </c>
      <c r="K58" s="12">
        <f>IFERROR(VLOOKUP($B58,Súpravy!$A$6:$Q$31,17,FALSE),0)</f>
        <v>0</v>
      </c>
      <c r="L58" s="12">
        <f>IFERROR(VLOOKUP($B58,Súpravy!$A$6:$Q$31,18,FALSE),0)</f>
        <v>0</v>
      </c>
      <c r="M58" s="17">
        <f t="shared" si="8"/>
        <v>0</v>
      </c>
      <c r="N58" s="93">
        <f>IF(OR(C58=53.328,M58&lt;=80%),0,D58*(Ocenenie!$E$56*(M58)*(M58)*(M58)+Ocenenie!$E$57*(M58)*(M58)+Ocenenie!$E$58*(M58)-Ocenenie!$E$60))</f>
        <v>0</v>
      </c>
    </row>
    <row r="59" spans="1:14" x14ac:dyDescent="0.25">
      <c r="A59" s="1" t="str">
        <f>Grafikon!$M48</f>
        <v>Zr 1780</v>
      </c>
      <c r="B59" s="199"/>
      <c r="C59" s="2">
        <f>Grafikon!$O48</f>
        <v>100.175</v>
      </c>
      <c r="D59" s="101">
        <f>Grafikon!$S48</f>
        <v>200</v>
      </c>
      <c r="E59" s="10">
        <f>IFERROR(VLOOKUP($B59,Súpravy!$A$6:$Q$31,6,FALSE),0)</f>
        <v>0</v>
      </c>
      <c r="F59" s="31">
        <f t="shared" si="7"/>
        <v>0</v>
      </c>
      <c r="G59" s="10">
        <f>IFERROR(VLOOKUP($B59,Súpravy!$A$6:$Q$31,3,FALSE),0)</f>
        <v>0</v>
      </c>
      <c r="H59" s="17">
        <f t="shared" si="6"/>
        <v>0</v>
      </c>
      <c r="I59" s="12">
        <f>IFERROR(VLOOKUP($B59,Súpravy!$A$6:$Q$31,9,FALSE),0)</f>
        <v>0</v>
      </c>
      <c r="J59" s="12">
        <f>IFERROR(VLOOKUP($B59,Súpravy!$A$6:$Q$31,12,FALSE),0)</f>
        <v>0</v>
      </c>
      <c r="K59" s="12">
        <f>IFERROR(VLOOKUP($B59,Súpravy!$A$6:$Q$31,17,FALSE),0)</f>
        <v>0</v>
      </c>
      <c r="L59" s="12">
        <f>IFERROR(VLOOKUP($B59,Súpravy!$A$6:$Q$31,18,FALSE),0)</f>
        <v>0</v>
      </c>
      <c r="M59" s="17">
        <f t="shared" si="8"/>
        <v>0</v>
      </c>
      <c r="N59" s="93">
        <f>IF(OR(C59=53.328,M59&lt;=80%),0,D59*(Ocenenie!$E$56*(M59)*(M59)*(M59)+Ocenenie!$E$57*(M59)*(M59)+Ocenenie!$E$58*(M59)-Ocenenie!$E$60))</f>
        <v>0</v>
      </c>
    </row>
    <row r="60" spans="1:14" x14ac:dyDescent="0.25">
      <c r="A60" s="1" t="str">
        <f>Grafikon!$M49</f>
        <v>Os 4322</v>
      </c>
      <c r="B60" s="199"/>
      <c r="C60" s="2">
        <f>Grafikon!$O49</f>
        <v>46.847000000000001</v>
      </c>
      <c r="D60" s="101">
        <f>Grafikon!$S49</f>
        <v>200</v>
      </c>
      <c r="E60" s="10">
        <f>IFERROR(VLOOKUP($B60,Súpravy!$A$6:$Q$31,6,FALSE),0)</f>
        <v>0</v>
      </c>
      <c r="F60" s="31">
        <f t="shared" si="7"/>
        <v>0</v>
      </c>
      <c r="G60" s="10">
        <f>IFERROR(VLOOKUP($B60,Súpravy!$A$6:$Q$31,3,FALSE),0)</f>
        <v>0</v>
      </c>
      <c r="H60" s="17">
        <f t="shared" si="6"/>
        <v>0</v>
      </c>
      <c r="I60" s="12">
        <f>IFERROR(VLOOKUP($B60,Súpravy!$A$6:$Q$31,9,FALSE),0)</f>
        <v>0</v>
      </c>
      <c r="J60" s="12">
        <f>IFERROR(VLOOKUP($B60,Súpravy!$A$6:$Q$31,12,FALSE),0)</f>
        <v>0</v>
      </c>
      <c r="K60" s="12">
        <f>IFERROR(VLOOKUP($B60,Súpravy!$A$6:$Q$31,17,FALSE),0)</f>
        <v>0</v>
      </c>
      <c r="L60" s="12">
        <f>IFERROR(VLOOKUP($B60,Súpravy!$A$6:$Q$31,18,FALSE),0)</f>
        <v>0</v>
      </c>
      <c r="M60" s="17">
        <f t="shared" si="8"/>
        <v>0</v>
      </c>
      <c r="N60" s="93">
        <f>IF(OR(C60=53.328,M60&lt;=80%),0,D60*(Ocenenie!$E$56*(M60)*(M60)*(M60)+Ocenenie!$E$57*(M60)*(M60)+Ocenenie!$E$58*(M60)-Ocenenie!$E$60))</f>
        <v>0</v>
      </c>
    </row>
    <row r="61" spans="1:14" x14ac:dyDescent="0.25">
      <c r="A61" s="1" t="str">
        <f>Grafikon!$M50</f>
        <v>Os 4324</v>
      </c>
      <c r="B61" s="199"/>
      <c r="C61" s="2">
        <f>Grafikon!$O50</f>
        <v>46.847000000000001</v>
      </c>
      <c r="D61" s="101">
        <f>Grafikon!$S50</f>
        <v>200</v>
      </c>
      <c r="E61" s="10">
        <f>IFERROR(VLOOKUP($B61,Súpravy!$A$6:$Q$31,6,FALSE),0)</f>
        <v>0</v>
      </c>
      <c r="F61" s="31">
        <f t="shared" si="7"/>
        <v>0</v>
      </c>
      <c r="G61" s="10">
        <f>IFERROR(VLOOKUP($B61,Súpravy!$A$6:$Q$31,3,FALSE),0)</f>
        <v>0</v>
      </c>
      <c r="H61" s="17">
        <f t="shared" si="6"/>
        <v>0</v>
      </c>
      <c r="I61" s="12">
        <f>IFERROR(VLOOKUP($B61,Súpravy!$A$6:$Q$31,9,FALSE),0)</f>
        <v>0</v>
      </c>
      <c r="J61" s="12">
        <f>IFERROR(VLOOKUP($B61,Súpravy!$A$6:$Q$31,12,FALSE),0)</f>
        <v>0</v>
      </c>
      <c r="K61" s="12">
        <f>IFERROR(VLOOKUP($B61,Súpravy!$A$6:$Q$31,17,FALSE),0)</f>
        <v>0</v>
      </c>
      <c r="L61" s="12">
        <f>IFERROR(VLOOKUP($B61,Súpravy!$A$6:$Q$31,18,FALSE),0)</f>
        <v>0</v>
      </c>
      <c r="M61" s="17">
        <f t="shared" si="8"/>
        <v>0</v>
      </c>
      <c r="N61" s="93">
        <f>IF(OR(C61=53.328,M61&lt;=80%),0,D61*(Ocenenie!$E$56*(M61)*(M61)*(M61)+Ocenenie!$E$57*(M61)*(M61)+Ocenenie!$E$58*(M61)-Ocenenie!$E$60))</f>
        <v>0</v>
      </c>
    </row>
    <row r="62" spans="1:14" x14ac:dyDescent="0.25">
      <c r="A62" s="1" t="str">
        <f>Grafikon!$M51</f>
        <v>Zr 1784</v>
      </c>
      <c r="B62" s="199"/>
      <c r="C62" s="2">
        <f>Grafikon!$O51</f>
        <v>100.175</v>
      </c>
      <c r="D62" s="101">
        <f>Grafikon!$S51</f>
        <v>200</v>
      </c>
      <c r="E62" s="10">
        <f>IFERROR(VLOOKUP($B62,Súpravy!$A$6:$Q$31,6,FALSE),0)</f>
        <v>0</v>
      </c>
      <c r="F62" s="31">
        <f t="shared" si="7"/>
        <v>0</v>
      </c>
      <c r="G62" s="10">
        <f>IFERROR(VLOOKUP($B62,Súpravy!$A$6:$Q$31,3,FALSE),0)</f>
        <v>0</v>
      </c>
      <c r="H62" s="17">
        <f t="shared" si="6"/>
        <v>0</v>
      </c>
      <c r="I62" s="12">
        <f>IFERROR(VLOOKUP($B62,Súpravy!$A$6:$Q$31,9,FALSE),0)</f>
        <v>0</v>
      </c>
      <c r="J62" s="12">
        <f>IFERROR(VLOOKUP($B62,Súpravy!$A$6:$Q$31,12,FALSE),0)</f>
        <v>0</v>
      </c>
      <c r="K62" s="12">
        <f>IFERROR(VLOOKUP($B62,Súpravy!$A$6:$Q$31,17,FALSE),0)</f>
        <v>0</v>
      </c>
      <c r="L62" s="12">
        <f>IFERROR(VLOOKUP($B62,Súpravy!$A$6:$Q$31,18,FALSE),0)</f>
        <v>0</v>
      </c>
      <c r="M62" s="17">
        <f t="shared" si="8"/>
        <v>0</v>
      </c>
      <c r="N62" s="93">
        <f>IF(OR(C62=53.328,M62&lt;=80%),0,D62*(Ocenenie!$E$56*(M62)*(M62)*(M62)+Ocenenie!$E$57*(M62)*(M62)+Ocenenie!$E$58*(M62)-Ocenenie!$E$60))</f>
        <v>0</v>
      </c>
    </row>
    <row r="63" spans="1:14" x14ac:dyDescent="0.25">
      <c r="A63" s="1" t="str">
        <f>Grafikon!$M52</f>
        <v>Os 4326</v>
      </c>
      <c r="B63" s="199"/>
      <c r="C63" s="2">
        <f>Grafikon!$O52</f>
        <v>46.847000000000001</v>
      </c>
      <c r="D63" s="101">
        <f>Grafikon!$S52</f>
        <v>200</v>
      </c>
      <c r="E63" s="10">
        <f>IFERROR(VLOOKUP($B63,Súpravy!$A$6:$Q$31,6,FALSE),0)</f>
        <v>0</v>
      </c>
      <c r="F63" s="31">
        <f t="shared" si="7"/>
        <v>0</v>
      </c>
      <c r="G63" s="10">
        <f>IFERROR(VLOOKUP($B63,Súpravy!$A$6:$Q$31,3,FALSE),0)</f>
        <v>0</v>
      </c>
      <c r="H63" s="17">
        <f t="shared" si="6"/>
        <v>0</v>
      </c>
      <c r="I63" s="12">
        <f>IFERROR(VLOOKUP($B63,Súpravy!$A$6:$Q$31,9,FALSE),0)</f>
        <v>0</v>
      </c>
      <c r="J63" s="12">
        <f>IFERROR(VLOOKUP($B63,Súpravy!$A$6:$Q$31,12,FALSE),0)</f>
        <v>0</v>
      </c>
      <c r="K63" s="12">
        <f>IFERROR(VLOOKUP($B63,Súpravy!$A$6:$Q$31,17,FALSE),0)</f>
        <v>0</v>
      </c>
      <c r="L63" s="12">
        <f>IFERROR(VLOOKUP($B63,Súpravy!$A$6:$Q$31,18,FALSE),0)</f>
        <v>0</v>
      </c>
      <c r="M63" s="17">
        <f t="shared" si="8"/>
        <v>0</v>
      </c>
      <c r="N63" s="93">
        <f>IF(OR(C63=53.328,M63&lt;=80%),0,D63*(Ocenenie!$E$56*(M63)*(M63)*(M63)+Ocenenie!$E$57*(M63)*(M63)+Ocenenie!$E$58*(M63)-Ocenenie!$E$60))</f>
        <v>0</v>
      </c>
    </row>
    <row r="64" spans="1:14" x14ac:dyDescent="0.25">
      <c r="A64" s="1" t="str">
        <f>Grafikon!$M53</f>
        <v>Os 4328</v>
      </c>
      <c r="B64" s="199"/>
      <c r="C64" s="2">
        <f>Grafikon!$O53</f>
        <v>46.847000000000001</v>
      </c>
      <c r="D64" s="101">
        <f>Grafikon!$S53</f>
        <v>100</v>
      </c>
      <c r="E64" s="10">
        <f>IFERROR(VLOOKUP($B64,Súpravy!$A$6:$Q$31,6,FALSE),0)</f>
        <v>0</v>
      </c>
      <c r="F64" s="31">
        <f t="shared" si="7"/>
        <v>0</v>
      </c>
      <c r="G64" s="10">
        <f>IFERROR(VLOOKUP($B64,Súpravy!$A$6:$Q$31,3,FALSE),0)</f>
        <v>0</v>
      </c>
      <c r="H64" s="17">
        <f t="shared" si="6"/>
        <v>0</v>
      </c>
      <c r="I64" s="12">
        <f>IFERROR(VLOOKUP($B64,Súpravy!$A$6:$Q$31,9,FALSE),0)</f>
        <v>0</v>
      </c>
      <c r="J64" s="12">
        <f>IFERROR(VLOOKUP($B64,Súpravy!$A$6:$Q$31,12,FALSE),0)</f>
        <v>0</v>
      </c>
      <c r="K64" s="12">
        <f>IFERROR(VLOOKUP($B64,Súpravy!$A$6:$Q$31,17,FALSE),0)</f>
        <v>0</v>
      </c>
      <c r="L64" s="12">
        <f>IFERROR(VLOOKUP($B64,Súpravy!$A$6:$Q$31,18,FALSE),0)</f>
        <v>0</v>
      </c>
      <c r="M64" s="17">
        <f>IFERROR(D64/G64,0)</f>
        <v>0</v>
      </c>
      <c r="N64" s="93">
        <f>IF(OR(C64=53.328,M64&lt;=80%),0,D64*(Ocenenie!$E$56*(M64)*(M64)*(M64)+Ocenenie!$E$57*(M64)*(M64)+Ocenenie!$E$58*(M64)-Ocenenie!$E$60))</f>
        <v>0</v>
      </c>
    </row>
    <row r="65" spans="1:14" x14ac:dyDescent="0.25">
      <c r="A65" s="1" t="str">
        <f>Grafikon!$M54</f>
        <v>Zr 1788</v>
      </c>
      <c r="B65" s="199"/>
      <c r="C65" s="2">
        <f>Grafikon!$O54</f>
        <v>100.175</v>
      </c>
      <c r="D65" s="101">
        <f>Grafikon!$S54</f>
        <v>200</v>
      </c>
      <c r="E65" s="10">
        <f>IFERROR(VLOOKUP($B65,Súpravy!$A$6:$Q$31,6,FALSE),0)</f>
        <v>0</v>
      </c>
      <c r="F65" s="31">
        <f t="shared" si="7"/>
        <v>0</v>
      </c>
      <c r="G65" s="10">
        <f>IFERROR(VLOOKUP($B65,Súpravy!$A$6:$Q$31,3,FALSE),0)</f>
        <v>0</v>
      </c>
      <c r="H65" s="17">
        <f t="shared" si="6"/>
        <v>0</v>
      </c>
      <c r="I65" s="12">
        <f>IFERROR(VLOOKUP($B65,Súpravy!$A$6:$Q$31,9,FALSE),0)</f>
        <v>0</v>
      </c>
      <c r="J65" s="12">
        <f>IFERROR(VLOOKUP($B65,Súpravy!$A$6:$Q$31,12,FALSE),0)</f>
        <v>0</v>
      </c>
      <c r="K65" s="12">
        <f>IFERROR(VLOOKUP($B65,Súpravy!$A$6:$Q$31,17,FALSE),0)</f>
        <v>0</v>
      </c>
      <c r="L65" s="12">
        <f>IFERROR(VLOOKUP($B65,Súpravy!$A$6:$Q$31,18,FALSE),0)</f>
        <v>0</v>
      </c>
      <c r="M65" s="17">
        <f t="shared" si="8"/>
        <v>0</v>
      </c>
      <c r="N65" s="93">
        <f>IF(OR(C65=53.328,M65&lt;=80%),0,D65*(Ocenenie!$E$56*(M65)*(M65)*(M65)+Ocenenie!$E$57*(M65)*(M65)+Ocenenie!$E$58*(M65)-Ocenenie!$E$60))</f>
        <v>0</v>
      </c>
    </row>
    <row r="66" spans="1:14" x14ac:dyDescent="0.25">
      <c r="A66" s="1" t="str">
        <f>Grafikon!$M55</f>
        <v>Os 4330</v>
      </c>
      <c r="B66" s="199"/>
      <c r="C66" s="2">
        <f>Grafikon!$O55</f>
        <v>46.847000000000001</v>
      </c>
      <c r="D66" s="101">
        <f>Grafikon!$S55</f>
        <v>100</v>
      </c>
      <c r="E66" s="10">
        <f>IFERROR(VLOOKUP($B66,Súpravy!$A$6:$Q$31,6,FALSE),0)</f>
        <v>0</v>
      </c>
      <c r="F66" s="31">
        <f t="shared" si="7"/>
        <v>0</v>
      </c>
      <c r="G66" s="10">
        <f>IFERROR(VLOOKUP($B66,Súpravy!$A$6:$Q$31,3,FALSE),0)</f>
        <v>0</v>
      </c>
      <c r="H66" s="17">
        <f t="shared" si="6"/>
        <v>0</v>
      </c>
      <c r="I66" s="12">
        <f>IFERROR(VLOOKUP($B66,Súpravy!$A$6:$Q$31,9,FALSE),0)</f>
        <v>0</v>
      </c>
      <c r="J66" s="12">
        <f>IFERROR(VLOOKUP($B66,Súpravy!$A$6:$Q$31,12,FALSE),0)</f>
        <v>0</v>
      </c>
      <c r="K66" s="12">
        <f>IFERROR(VLOOKUP($B66,Súpravy!$A$6:$Q$31,17,FALSE),0)</f>
        <v>0</v>
      </c>
      <c r="L66" s="12">
        <f>IFERROR(VLOOKUP($B66,Súpravy!$A$6:$Q$31,18,FALSE),0)</f>
        <v>0</v>
      </c>
      <c r="M66" s="17">
        <f t="shared" si="8"/>
        <v>0</v>
      </c>
      <c r="N66" s="93">
        <f>IF(OR(C66=53.328,M66&lt;=80%),0,D66*(Ocenenie!$E$56*(M66)*(M66)*(M66)+Ocenenie!$E$57*(M66)*(M66)+Ocenenie!$E$58*(M66)-Ocenenie!$E$60))</f>
        <v>0</v>
      </c>
    </row>
    <row r="67" spans="1:14" x14ac:dyDescent="0.25">
      <c r="A67" s="1" t="str">
        <f>Grafikon!$M56</f>
        <v>Os 4332</v>
      </c>
      <c r="B67" s="199"/>
      <c r="C67" s="2">
        <f>Grafikon!$O56</f>
        <v>46.847000000000001</v>
      </c>
      <c r="D67" s="101">
        <f>Grafikon!$S56</f>
        <v>100</v>
      </c>
      <c r="E67" s="10">
        <f>IFERROR(VLOOKUP($B67,Súpravy!$A$6:$Q$31,6,FALSE),0)</f>
        <v>0</v>
      </c>
      <c r="F67" s="31">
        <f t="shared" si="7"/>
        <v>0</v>
      </c>
      <c r="G67" s="10">
        <f>IFERROR(VLOOKUP($B67,Súpravy!$A$6:$Q$31,3,FALSE),0)</f>
        <v>0</v>
      </c>
      <c r="H67" s="17">
        <f t="shared" si="6"/>
        <v>0</v>
      </c>
      <c r="I67" s="12">
        <f>IFERROR(VLOOKUP($B67,Súpravy!$A$6:$Q$31,9,FALSE),0)</f>
        <v>0</v>
      </c>
      <c r="J67" s="12">
        <f>IFERROR(VLOOKUP($B67,Súpravy!$A$6:$Q$31,12,FALSE),0)</f>
        <v>0</v>
      </c>
      <c r="K67" s="12">
        <f>IFERROR(VLOOKUP($B67,Súpravy!$A$6:$Q$31,17,FALSE),0)</f>
        <v>0</v>
      </c>
      <c r="L67" s="12">
        <f>IFERROR(VLOOKUP($B67,Súpravy!$A$6:$Q$31,18,FALSE),0)</f>
        <v>0</v>
      </c>
      <c r="M67" s="17">
        <f t="shared" si="8"/>
        <v>0</v>
      </c>
      <c r="N67" s="93">
        <f>IF(OR(C67=53.328,M67&lt;=80%),0,D67*(Ocenenie!$E$56*(M67)*(M67)*(M67)+Ocenenie!$E$57*(M67)*(M67)+Ocenenie!$E$58*(M67)-Ocenenie!$E$60))</f>
        <v>0</v>
      </c>
    </row>
    <row r="68" spans="1:14" x14ac:dyDescent="0.25">
      <c r="A68" s="1" t="str">
        <f>Grafikon!$M57</f>
        <v>Zr 1792</v>
      </c>
      <c r="B68" s="199"/>
      <c r="C68" s="2">
        <f>Grafikon!$O57</f>
        <v>100.175</v>
      </c>
      <c r="D68" s="101">
        <f>Grafikon!$S57</f>
        <v>100</v>
      </c>
      <c r="E68" s="10">
        <f>IFERROR(VLOOKUP($B68,Súpravy!$A$6:$Q$31,6,FALSE),0)</f>
        <v>0</v>
      </c>
      <c r="F68" s="31">
        <f t="shared" si="7"/>
        <v>0</v>
      </c>
      <c r="G68" s="10">
        <f>IFERROR(VLOOKUP($B68,Súpravy!$A$6:$Q$31,3,FALSE),0)</f>
        <v>0</v>
      </c>
      <c r="H68" s="17">
        <f t="shared" si="6"/>
        <v>0</v>
      </c>
      <c r="I68" s="12">
        <f>IFERROR(VLOOKUP($B68,Súpravy!$A$6:$Q$31,9,FALSE),0)</f>
        <v>0</v>
      </c>
      <c r="J68" s="12">
        <f>IFERROR(VLOOKUP($B68,Súpravy!$A$6:$Q$31,12,FALSE),0)</f>
        <v>0</v>
      </c>
      <c r="K68" s="12">
        <f>IFERROR(VLOOKUP($B68,Súpravy!$A$6:$Q$31,17,FALSE),0)</f>
        <v>0</v>
      </c>
      <c r="L68" s="12">
        <f>IFERROR(VLOOKUP($B68,Súpravy!$A$6:$Q$31,18,FALSE),0)</f>
        <v>0</v>
      </c>
      <c r="M68" s="17">
        <f t="shared" si="8"/>
        <v>0</v>
      </c>
      <c r="N68" s="93">
        <f>IF(OR(C68=53.328,M68&lt;=80%),0,D68*(Ocenenie!$E$56*(M68)*(M68)*(M68)+Ocenenie!$E$57*(M68)*(M68)+Ocenenie!$E$58*(M68)-Ocenenie!$E$60))</f>
        <v>0</v>
      </c>
    </row>
    <row r="69" spans="1:14" x14ac:dyDescent="0.25">
      <c r="A69" s="1" t="str">
        <f>Grafikon!$M58</f>
        <v>Os 4336</v>
      </c>
      <c r="B69" s="199"/>
      <c r="C69" s="2">
        <f>Grafikon!$O58</f>
        <v>46.847000000000001</v>
      </c>
      <c r="D69" s="101">
        <f>Grafikon!$S58</f>
        <v>100</v>
      </c>
      <c r="E69" s="10">
        <f>IFERROR(VLOOKUP($B69,Súpravy!$A$6:$Q$31,6,FALSE),0)</f>
        <v>0</v>
      </c>
      <c r="F69" s="31">
        <f t="shared" si="7"/>
        <v>0</v>
      </c>
      <c r="G69" s="10">
        <f>IFERROR(VLOOKUP($B69,Súpravy!$A$6:$Q$31,3,FALSE),0)</f>
        <v>0</v>
      </c>
      <c r="H69" s="17">
        <f t="shared" si="6"/>
        <v>0</v>
      </c>
      <c r="I69" s="12">
        <f>IFERROR(VLOOKUP($B69,Súpravy!$A$6:$Q$31,9,FALSE),0)</f>
        <v>0</v>
      </c>
      <c r="J69" s="12">
        <f>IFERROR(VLOOKUP($B69,Súpravy!$A$6:$Q$31,12,FALSE),0)</f>
        <v>0</v>
      </c>
      <c r="K69" s="12">
        <f>IFERROR(VLOOKUP($B69,Súpravy!$A$6:$Q$31,17,FALSE),0)</f>
        <v>0</v>
      </c>
      <c r="L69" s="12">
        <f>IFERROR(VLOOKUP($B69,Súpravy!$A$6:$Q$31,18,FALSE),0)</f>
        <v>0</v>
      </c>
      <c r="M69" s="17">
        <f t="shared" si="8"/>
        <v>0</v>
      </c>
      <c r="N69" s="93">
        <f>IF(OR(C69=53.328,M69&lt;=80%),0,D69*(Ocenenie!$E$56*(M69)*(M69)*(M69)+Ocenenie!$E$57*(M69)*(M69)+Ocenenie!$E$58*(M69)-Ocenenie!$E$60))</f>
        <v>0</v>
      </c>
    </row>
  </sheetData>
  <sheetProtection algorithmName="SHA-512" hashValue="dDdpTiEPrQLnL/uINKqhRiS27bwqzELqmKy5ngoIEeWL1jdMBf5A6Ffpgm6/SHNzCor404fG7dDl/fplHuvjng==" saltValue="7Yf2UyP0LtPLhD1Ka4gcig==" spinCount="100000" sheet="1" objects="1" scenarios="1"/>
  <mergeCells count="14">
    <mergeCell ref="M2:N2"/>
    <mergeCell ref="M12:N12"/>
    <mergeCell ref="E12:F12"/>
    <mergeCell ref="G12:H12"/>
    <mergeCell ref="G2:H2"/>
    <mergeCell ref="E2:F2"/>
    <mergeCell ref="B13:B14"/>
    <mergeCell ref="A12:A14"/>
    <mergeCell ref="C12:C13"/>
    <mergeCell ref="D12:D13"/>
    <mergeCell ref="C2:D2"/>
    <mergeCell ref="C3:D3"/>
    <mergeCell ref="C4:C6"/>
    <mergeCell ref="C7:C9"/>
  </mergeCells>
  <conditionalFormatting sqref="H15:H41 H43:H69">
    <cfRule type="cellIs" dxfId="19" priority="21" operator="lessThan">
      <formula>0.6</formula>
    </cfRule>
    <cfRule type="cellIs" dxfId="18" priority="22" operator="greaterThanOrEqual">
      <formula>0.6</formula>
    </cfRule>
  </conditionalFormatting>
  <conditionalFormatting sqref="M15:M41 M43:M69">
    <cfRule type="colorScale" priority="17">
      <colorScale>
        <cfvo type="num" val="0"/>
        <cfvo type="num" val="1"/>
        <cfvo type="num" val="1.7"/>
        <color rgb="FFC6EFCE"/>
        <color rgb="FFFFFFCC"/>
        <color rgb="FFFFC7CE"/>
      </colorScale>
    </cfRule>
  </conditionalFormatting>
  <conditionalFormatting sqref="N15:N41 N43:N69">
    <cfRule type="colorScale" priority="15">
      <colorScale>
        <cfvo type="num" val="0"/>
        <cfvo type="num" val="3"/>
        <cfvo type="num" val="225"/>
        <color rgb="FFC6EFCE"/>
        <color rgb="FFFFEB84"/>
        <color rgb="FFFFC7CE"/>
      </colorScale>
    </cfRule>
  </conditionalFormatting>
  <conditionalFormatting sqref="F15:F41">
    <cfRule type="cellIs" dxfId="17" priority="12" operator="lessThan">
      <formula>0.95</formula>
    </cfRule>
    <cfRule type="cellIs" dxfId="16" priority="13" operator="greaterThanOrEqual">
      <formula>1</formula>
    </cfRule>
    <cfRule type="cellIs" dxfId="15" priority="14" operator="between">
      <formula>0.95</formula>
      <formula>1</formula>
    </cfRule>
  </conditionalFormatting>
  <conditionalFormatting sqref="F43:F69">
    <cfRule type="cellIs" dxfId="14" priority="9" operator="lessThan">
      <formula>0.95</formula>
    </cfRule>
    <cfRule type="cellIs" dxfId="13" priority="10" operator="greaterThanOrEqual">
      <formula>1</formula>
    </cfRule>
    <cfRule type="cellIs" dxfId="12" priority="11" operator="between">
      <formula>0.95</formula>
      <formula>1</formula>
    </cfRule>
  </conditionalFormatting>
  <conditionalFormatting sqref="E6">
    <cfRule type="containsText" dxfId="11" priority="7" stopIfTrue="1" operator="containsText" text="27/">
      <formula>NOT(ISERROR(SEARCH("27/",E6)))</formula>
    </cfRule>
    <cfRule type="containsText" dxfId="10" priority="8" operator="containsText" text="/27">
      <formula>NOT(ISERROR(SEARCH("/27",E6)))</formula>
    </cfRule>
  </conditionalFormatting>
  <conditionalFormatting sqref="E9:E10">
    <cfRule type="containsText" dxfId="9" priority="5" stopIfTrue="1" operator="containsText" text="27/">
      <formula>NOT(ISERROR(SEARCH("27/",E9)))</formula>
    </cfRule>
    <cfRule type="containsText" dxfId="8" priority="6" operator="containsText" text="/27">
      <formula>NOT(ISERROR(SEARCH("/27",E9)))</formula>
    </cfRule>
  </conditionalFormatting>
  <conditionalFormatting sqref="G6">
    <cfRule type="containsText" dxfId="7" priority="3" stopIfTrue="1" operator="containsText" text="27/">
      <formula>NOT(ISERROR(SEARCH("27/",G6)))</formula>
    </cfRule>
    <cfRule type="containsText" dxfId="6" priority="4" operator="containsText" text="/27">
      <formula>NOT(ISERROR(SEARCH("/27",G6)))</formula>
    </cfRule>
  </conditionalFormatting>
  <conditionalFormatting sqref="G9:G10">
    <cfRule type="containsText" dxfId="5" priority="1" stopIfTrue="1" operator="containsText" text="27/">
      <formula>NOT(ISERROR(SEARCH("27/",G9)))</formula>
    </cfRule>
    <cfRule type="containsText" dxfId="4" priority="2" operator="containsText" text="/27">
      <formula>NOT(ISERROR(SEARCH("/27",G9)))</formula>
    </cfRule>
  </conditionalFormatting>
  <pageMargins left="0.23622047244094491" right="0.23622047244094491" top="0.74803149606299213" bottom="0.74803149606299213" header="0.31496062992125984" footer="0.31496062992125984"/>
  <pageSetup paperSize="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43"/>
  <sheetViews>
    <sheetView view="pageLayout" topLeftCell="A3" zoomScaleNormal="100" zoomScaleSheetLayoutView="100" workbookViewId="0">
      <selection activeCell="E7" sqref="E7"/>
    </sheetView>
  </sheetViews>
  <sheetFormatPr defaultRowHeight="15" x14ac:dyDescent="0.25"/>
  <cols>
    <col min="1" max="1" width="7.7109375" customWidth="1"/>
    <col min="2" max="2" width="32" customWidth="1"/>
    <col min="3" max="3" width="1.5703125" hidden="1" customWidth="1"/>
    <col min="4" max="4" width="5.28515625" hidden="1" customWidth="1"/>
    <col min="5" max="5" width="18.28515625" customWidth="1"/>
    <col min="6" max="6" width="15.42578125" customWidth="1"/>
    <col min="7" max="7" width="18.28515625" customWidth="1"/>
    <col min="8" max="8" width="15.42578125" customWidth="1"/>
    <col min="9" max="9" width="20.42578125" customWidth="1"/>
    <col min="10" max="10" width="20.5703125" customWidth="1"/>
    <col min="11" max="11" width="1.5703125" customWidth="1"/>
  </cols>
  <sheetData>
    <row r="1" spans="1:10" s="74" customFormat="1" ht="29.25" customHeight="1" x14ac:dyDescent="0.25">
      <c r="A1" s="127" t="s">
        <v>377</v>
      </c>
      <c r="E1" s="209">
        <f>Spoločnosť!$C$10</f>
        <v>0</v>
      </c>
    </row>
    <row r="2" spans="1:10" ht="33.75" customHeight="1" x14ac:dyDescent="0.3">
      <c r="A2" s="121"/>
      <c r="B2" s="150" t="s">
        <v>141</v>
      </c>
      <c r="C2" s="255" t="s">
        <v>366</v>
      </c>
      <c r="D2" s="256"/>
      <c r="E2" s="257" t="s">
        <v>472</v>
      </c>
      <c r="F2" s="256"/>
      <c r="G2" s="257" t="s">
        <v>473</v>
      </c>
      <c r="H2" s="256"/>
      <c r="I2" s="166" t="s">
        <v>140</v>
      </c>
      <c r="J2" s="1"/>
    </row>
    <row r="3" spans="1:10" ht="18" customHeight="1" x14ac:dyDescent="0.25">
      <c r="A3" s="121"/>
      <c r="B3" s="104" t="s">
        <v>338</v>
      </c>
      <c r="C3" s="123">
        <v>1</v>
      </c>
      <c r="D3" s="122" t="s">
        <v>376</v>
      </c>
      <c r="E3" s="117">
        <v>2</v>
      </c>
      <c r="F3" s="118" t="s">
        <v>368</v>
      </c>
      <c r="G3" s="117">
        <v>7</v>
      </c>
      <c r="H3" s="118" t="s">
        <v>369</v>
      </c>
      <c r="I3" s="197" t="s">
        <v>437</v>
      </c>
      <c r="J3" s="1"/>
    </row>
    <row r="4" spans="1:10" ht="18" customHeight="1" x14ac:dyDescent="0.25">
      <c r="A4" s="121" t="s">
        <v>364</v>
      </c>
      <c r="B4" s="108" t="s">
        <v>407</v>
      </c>
      <c r="C4" s="113" t="s">
        <v>367</v>
      </c>
      <c r="D4" s="113" t="s">
        <v>361</v>
      </c>
      <c r="E4" s="113" t="s">
        <v>367</v>
      </c>
      <c r="F4" s="113" t="s">
        <v>361</v>
      </c>
      <c r="G4" s="113" t="s">
        <v>367</v>
      </c>
      <c r="H4" s="113" t="s">
        <v>361</v>
      </c>
      <c r="I4" s="113" t="s">
        <v>379</v>
      </c>
      <c r="J4" s="21" t="s">
        <v>380</v>
      </c>
    </row>
    <row r="5" spans="1:10" ht="18.75" customHeight="1" x14ac:dyDescent="0.25">
      <c r="A5" s="171" t="s">
        <v>362</v>
      </c>
      <c r="B5" s="172" t="s">
        <v>375</v>
      </c>
      <c r="C5" s="173">
        <v>1600000</v>
      </c>
      <c r="D5" s="173">
        <f>C5/$E$5</f>
        <v>1</v>
      </c>
      <c r="E5" s="173">
        <v>1600000</v>
      </c>
      <c r="F5" s="173">
        <f>E5/$E$5</f>
        <v>1</v>
      </c>
      <c r="G5" s="173">
        <v>1600000</v>
      </c>
      <c r="H5" s="173">
        <f>G5/$E$5</f>
        <v>1</v>
      </c>
      <c r="I5" s="173">
        <f>$E$3*E5+$G$3*G5</f>
        <v>14400000</v>
      </c>
      <c r="J5" s="101" t="s">
        <v>255</v>
      </c>
    </row>
    <row r="6" spans="1:10" ht="29.25" customHeight="1" x14ac:dyDescent="0.25">
      <c r="A6" s="174" t="s">
        <v>264</v>
      </c>
      <c r="B6" s="175" t="s">
        <v>339</v>
      </c>
      <c r="C6" s="176">
        <v>0</v>
      </c>
      <c r="D6" s="176">
        <f>C6/$C$5</f>
        <v>0</v>
      </c>
      <c r="E6" s="176">
        <v>0</v>
      </c>
      <c r="F6" s="176">
        <f>E6/$E$5</f>
        <v>0</v>
      </c>
      <c r="G6" s="176">
        <v>0</v>
      </c>
      <c r="H6" s="176">
        <f>G6/$G$5</f>
        <v>0</v>
      </c>
      <c r="I6" s="176">
        <f>$E$3*E6+$G$3*G6</f>
        <v>0</v>
      </c>
      <c r="J6" s="100" t="s">
        <v>374</v>
      </c>
    </row>
    <row r="7" spans="1:10" ht="29.25" customHeight="1" x14ac:dyDescent="0.25">
      <c r="A7" s="101" t="s">
        <v>273</v>
      </c>
      <c r="B7" s="114" t="s">
        <v>490</v>
      </c>
      <c r="C7" s="99"/>
      <c r="D7" s="111">
        <f>C7/$C$5</f>
        <v>0</v>
      </c>
      <c r="E7" s="224"/>
      <c r="F7" s="131">
        <f>E7/$E$5</f>
        <v>0</v>
      </c>
      <c r="G7" s="224"/>
      <c r="H7" s="131">
        <f t="shared" ref="H7:H8" si="0">G7/$G$5</f>
        <v>0</v>
      </c>
      <c r="I7" s="109">
        <f>$E$3*E7+$G$3*G7</f>
        <v>0</v>
      </c>
      <c r="J7" s="101" t="s">
        <v>372</v>
      </c>
    </row>
    <row r="8" spans="1:10" ht="29.25" customHeight="1" x14ac:dyDescent="0.25">
      <c r="A8" s="101" t="s">
        <v>274</v>
      </c>
      <c r="B8" s="1" t="s">
        <v>365</v>
      </c>
      <c r="C8" s="99">
        <v>0</v>
      </c>
      <c r="D8" s="111">
        <f>C8/$C$5</f>
        <v>0</v>
      </c>
      <c r="E8" s="224"/>
      <c r="F8" s="131">
        <f>E8/$E$5</f>
        <v>0</v>
      </c>
      <c r="G8" s="224"/>
      <c r="H8" s="131">
        <f t="shared" si="0"/>
        <v>0</v>
      </c>
      <c r="I8" s="109">
        <f t="shared" ref="I8:I12" si="1">$E$3*E8+$G$3*G8</f>
        <v>0</v>
      </c>
      <c r="J8" s="100" t="s">
        <v>371</v>
      </c>
    </row>
    <row r="9" spans="1:10" ht="29.25" customHeight="1" x14ac:dyDescent="0.25">
      <c r="A9" s="101" t="s">
        <v>275</v>
      </c>
      <c r="B9" s="1" t="s">
        <v>491</v>
      </c>
      <c r="C9" s="99">
        <v>0</v>
      </c>
      <c r="D9" s="111">
        <f t="shared" ref="D9:D10" si="2">C9/$C$5</f>
        <v>0</v>
      </c>
      <c r="E9" s="224"/>
      <c r="F9" s="131">
        <f t="shared" ref="F9:F12" si="3">E9/$E$5</f>
        <v>0</v>
      </c>
      <c r="G9" s="224"/>
      <c r="H9" s="131">
        <f>G9/$G$5</f>
        <v>0</v>
      </c>
      <c r="I9" s="109">
        <f t="shared" si="1"/>
        <v>0</v>
      </c>
      <c r="J9" s="100" t="s">
        <v>378</v>
      </c>
    </row>
    <row r="10" spans="1:10" ht="29.25" customHeight="1" x14ac:dyDescent="0.25">
      <c r="A10" s="120" t="s">
        <v>266</v>
      </c>
      <c r="B10" s="114" t="s">
        <v>482</v>
      </c>
      <c r="C10" s="99"/>
      <c r="D10" s="111">
        <f t="shared" si="2"/>
        <v>0</v>
      </c>
      <c r="E10" s="224"/>
      <c r="F10" s="131">
        <f>E10/$E$5</f>
        <v>0</v>
      </c>
      <c r="G10" s="224"/>
      <c r="H10" s="131">
        <f>G10/$G$5</f>
        <v>0</v>
      </c>
      <c r="I10" s="109">
        <f>$E$3*E10+$G$3*G10</f>
        <v>0</v>
      </c>
      <c r="J10" s="120" t="s">
        <v>370</v>
      </c>
    </row>
    <row r="11" spans="1:10" ht="29.25" customHeight="1" x14ac:dyDescent="0.25">
      <c r="A11" s="124" t="s">
        <v>287</v>
      </c>
      <c r="B11" s="125" t="s">
        <v>440</v>
      </c>
      <c r="C11" s="110">
        <f>SUM(C7:C10)</f>
        <v>0</v>
      </c>
      <c r="D11" s="115">
        <f>C11/$C$5</f>
        <v>0</v>
      </c>
      <c r="E11" s="130">
        <f>SUM(E7:E10)</f>
        <v>0</v>
      </c>
      <c r="F11" s="132">
        <f>E11/$E$5</f>
        <v>0</v>
      </c>
      <c r="G11" s="130">
        <f>SUM(G7:G10)</f>
        <v>0</v>
      </c>
      <c r="H11" s="132">
        <f>G11/$G$5</f>
        <v>0</v>
      </c>
      <c r="I11" s="116">
        <f>$E$3*E11+$G$3*G11</f>
        <v>0</v>
      </c>
      <c r="J11" s="101"/>
    </row>
    <row r="12" spans="1:10" ht="29.25" customHeight="1" x14ac:dyDescent="0.25">
      <c r="A12" s="124" t="s">
        <v>363</v>
      </c>
      <c r="B12" s="125" t="s">
        <v>493</v>
      </c>
      <c r="C12" s="110">
        <v>0</v>
      </c>
      <c r="D12" s="115">
        <f>C12/$C$5</f>
        <v>0</v>
      </c>
      <c r="E12" s="225"/>
      <c r="F12" s="132">
        <f t="shared" si="3"/>
        <v>0</v>
      </c>
      <c r="G12" s="225"/>
      <c r="H12" s="132">
        <f t="shared" ref="H12" si="4">G12/$E$5</f>
        <v>0</v>
      </c>
      <c r="I12" s="116">
        <f t="shared" si="1"/>
        <v>0</v>
      </c>
      <c r="J12" s="119" t="s">
        <v>419</v>
      </c>
    </row>
    <row r="13" spans="1:10" ht="29.25" customHeight="1" x14ac:dyDescent="0.25">
      <c r="A13" s="126" t="s">
        <v>263</v>
      </c>
      <c r="B13" s="141" t="s">
        <v>439</v>
      </c>
      <c r="C13" s="112">
        <f>C11-C12</f>
        <v>0</v>
      </c>
      <c r="D13" s="112">
        <f t="shared" ref="D13:I13" si="5">D11-D12</f>
        <v>0</v>
      </c>
      <c r="E13" s="112">
        <f t="shared" si="5"/>
        <v>0</v>
      </c>
      <c r="F13" s="133">
        <f t="shared" si="5"/>
        <v>0</v>
      </c>
      <c r="G13" s="112">
        <f t="shared" si="5"/>
        <v>0</v>
      </c>
      <c r="H13" s="133">
        <f t="shared" si="5"/>
        <v>0</v>
      </c>
      <c r="I13" s="112">
        <f t="shared" si="5"/>
        <v>0</v>
      </c>
      <c r="J13" s="101"/>
    </row>
    <row r="14" spans="1:10" ht="29.25" customHeight="1" x14ac:dyDescent="0.25"/>
    <row r="15" spans="1:10" ht="33" hidden="1" customHeight="1" x14ac:dyDescent="0.25">
      <c r="A15" s="126" t="s">
        <v>266</v>
      </c>
      <c r="B15" s="141" t="s">
        <v>381</v>
      </c>
      <c r="C15" s="112">
        <f t="shared" ref="C15:C16" si="6">C13-C14</f>
        <v>0</v>
      </c>
      <c r="D15" s="112">
        <f t="shared" ref="D15:D16" si="7">D13-D14</f>
        <v>0</v>
      </c>
      <c r="E15" s="112">
        <f>E10</f>
        <v>0</v>
      </c>
      <c r="F15" s="112">
        <f>F10</f>
        <v>0</v>
      </c>
      <c r="G15" s="112">
        <f>G10</f>
        <v>0</v>
      </c>
      <c r="H15" s="112">
        <f>H10</f>
        <v>0</v>
      </c>
      <c r="I15" s="112">
        <f>I10</f>
        <v>0</v>
      </c>
      <c r="J15" s="120"/>
    </row>
    <row r="16" spans="1:10" ht="33" hidden="1" customHeight="1" x14ac:dyDescent="0.25">
      <c r="A16" s="126" t="s">
        <v>362</v>
      </c>
      <c r="B16" s="141" t="s">
        <v>382</v>
      </c>
      <c r="C16" s="112">
        <f t="shared" si="6"/>
        <v>0</v>
      </c>
      <c r="D16" s="112">
        <f t="shared" si="7"/>
        <v>0</v>
      </c>
      <c r="E16" s="112">
        <f>SUM(E13-E10)</f>
        <v>0</v>
      </c>
      <c r="F16" s="112">
        <f>SUM(F13-F10)</f>
        <v>0</v>
      </c>
      <c r="G16" s="112">
        <f>SUM(G13-G10)</f>
        <v>0</v>
      </c>
      <c r="H16" s="112">
        <f>SUM(H13-H10)</f>
        <v>0</v>
      </c>
      <c r="I16" s="112">
        <f>SUM(I13-I10)</f>
        <v>0</v>
      </c>
      <c r="J16" s="120"/>
    </row>
    <row r="17" spans="2:10" hidden="1" x14ac:dyDescent="0.25"/>
    <row r="18" spans="2:10" hidden="1" x14ac:dyDescent="0.25"/>
    <row r="19" spans="2:10" hidden="1" x14ac:dyDescent="0.25"/>
    <row r="20" spans="2:10" ht="18.75" customHeight="1" x14ac:dyDescent="0.25">
      <c r="B20" s="147" t="s">
        <v>394</v>
      </c>
      <c r="E20" s="153" t="s">
        <v>488</v>
      </c>
    </row>
    <row r="21" spans="2:10" ht="18.75" customHeight="1" x14ac:dyDescent="0.25">
      <c r="B21" s="147"/>
    </row>
    <row r="22" spans="2:10" ht="18.75" customHeight="1" x14ac:dyDescent="0.25">
      <c r="B22" s="148" t="s">
        <v>396</v>
      </c>
      <c r="E22" s="149" t="s">
        <v>389</v>
      </c>
      <c r="F22" s="153" t="s">
        <v>409</v>
      </c>
    </row>
    <row r="23" spans="2:10" ht="18.75" customHeight="1" x14ac:dyDescent="0.25">
      <c r="B23" s="148" t="s">
        <v>397</v>
      </c>
      <c r="E23" s="149" t="s">
        <v>389</v>
      </c>
      <c r="F23" s="153" t="s">
        <v>408</v>
      </c>
    </row>
    <row r="24" spans="2:10" ht="18.75" customHeight="1" x14ac:dyDescent="0.25">
      <c r="B24" s="151" t="s">
        <v>400</v>
      </c>
      <c r="C24" s="142"/>
      <c r="D24" s="142"/>
      <c r="E24" s="143" t="s">
        <v>387</v>
      </c>
      <c r="F24" s="143" t="s">
        <v>413</v>
      </c>
      <c r="G24" s="142"/>
      <c r="H24" s="142"/>
      <c r="I24" s="142"/>
      <c r="J24" s="142"/>
    </row>
    <row r="25" spans="2:10" ht="33.75" customHeight="1" x14ac:dyDescent="0.25">
      <c r="B25" s="152" t="s">
        <v>401</v>
      </c>
      <c r="E25" s="154" t="s">
        <v>410</v>
      </c>
      <c r="F25" s="258" t="s">
        <v>477</v>
      </c>
      <c r="G25" s="258"/>
      <c r="H25" s="258"/>
      <c r="I25" s="258"/>
      <c r="J25" s="258"/>
    </row>
    <row r="26" spans="2:10" ht="18.75" customHeight="1" x14ac:dyDescent="0.25">
      <c r="B26" s="151" t="s">
        <v>402</v>
      </c>
      <c r="C26" s="142"/>
      <c r="D26" s="142"/>
      <c r="E26" s="143" t="s">
        <v>387</v>
      </c>
      <c r="F26" s="143" t="s">
        <v>414</v>
      </c>
      <c r="G26" s="142"/>
      <c r="H26" s="142"/>
      <c r="I26" s="142"/>
      <c r="J26" s="142"/>
    </row>
    <row r="27" spans="2:10" ht="33.75" customHeight="1" x14ac:dyDescent="0.25">
      <c r="B27" s="152" t="s">
        <v>403</v>
      </c>
      <c r="E27" s="154" t="s">
        <v>411</v>
      </c>
      <c r="F27" s="258" t="s">
        <v>479</v>
      </c>
      <c r="G27" s="258"/>
      <c r="H27" s="258"/>
      <c r="I27" s="258"/>
      <c r="J27" s="258"/>
    </row>
    <row r="28" spans="2:10" ht="33.75" customHeight="1" x14ac:dyDescent="0.25">
      <c r="B28" s="158" t="s">
        <v>404</v>
      </c>
      <c r="E28" s="155" t="s">
        <v>478</v>
      </c>
      <c r="F28" s="157" t="s">
        <v>487</v>
      </c>
      <c r="G28" s="79"/>
      <c r="H28" s="79"/>
      <c r="I28" s="79"/>
      <c r="J28" s="79"/>
    </row>
    <row r="29" spans="2:10" ht="18.75" customHeight="1" x14ac:dyDescent="0.25">
      <c r="B29" s="148" t="s">
        <v>405</v>
      </c>
      <c r="E29" s="156" t="s">
        <v>389</v>
      </c>
      <c r="F29" s="153" t="s">
        <v>412</v>
      </c>
    </row>
    <row r="30" spans="2:10" x14ac:dyDescent="0.25">
      <c r="B30" s="148"/>
      <c r="E30" s="156"/>
      <c r="F30" s="159" t="s">
        <v>373</v>
      </c>
      <c r="G30" s="153" t="s">
        <v>420</v>
      </c>
    </row>
    <row r="31" spans="2:10" x14ac:dyDescent="0.25">
      <c r="B31" s="148"/>
      <c r="E31" s="156"/>
      <c r="F31" s="159" t="s">
        <v>372</v>
      </c>
      <c r="G31" s="153" t="s">
        <v>421</v>
      </c>
    </row>
    <row r="32" spans="2:10" x14ac:dyDescent="0.25">
      <c r="B32" s="148"/>
      <c r="E32" s="156"/>
      <c r="F32" s="159" t="s">
        <v>371</v>
      </c>
      <c r="G32" s="153" t="s">
        <v>422</v>
      </c>
    </row>
    <row r="33" spans="2:10" x14ac:dyDescent="0.25">
      <c r="B33" s="148"/>
      <c r="E33" s="156"/>
      <c r="F33" s="159" t="s">
        <v>378</v>
      </c>
      <c r="G33" s="153" t="s">
        <v>423</v>
      </c>
    </row>
    <row r="34" spans="2:10" x14ac:dyDescent="0.25">
      <c r="B34" s="147"/>
    </row>
    <row r="35" spans="2:10" ht="18.75" customHeight="1" x14ac:dyDescent="0.25">
      <c r="B35" s="160" t="s">
        <v>395</v>
      </c>
      <c r="C35" s="160"/>
      <c r="D35" s="160"/>
      <c r="E35" s="160" t="s">
        <v>389</v>
      </c>
      <c r="F35" s="160" t="s">
        <v>415</v>
      </c>
      <c r="G35" s="160"/>
      <c r="H35" s="160"/>
      <c r="I35" s="160"/>
      <c r="J35" s="160"/>
    </row>
    <row r="36" spans="2:10" ht="18.75" customHeight="1" x14ac:dyDescent="0.25">
      <c r="B36" s="160" t="s">
        <v>388</v>
      </c>
      <c r="C36" s="160"/>
      <c r="D36" s="160"/>
      <c r="E36" s="160" t="s">
        <v>389</v>
      </c>
      <c r="F36" s="160" t="s">
        <v>438</v>
      </c>
      <c r="G36" s="160"/>
      <c r="H36" s="160"/>
      <c r="I36" s="160"/>
      <c r="J36" s="160"/>
    </row>
    <row r="37" spans="2:10" ht="18.75" customHeight="1" x14ac:dyDescent="0.25">
      <c r="B37" s="143" t="s">
        <v>383</v>
      </c>
      <c r="C37" s="143"/>
      <c r="D37" s="143"/>
      <c r="E37" s="143" t="s">
        <v>390</v>
      </c>
      <c r="F37" s="143" t="s">
        <v>416</v>
      </c>
      <c r="G37" s="143"/>
      <c r="H37" s="143"/>
      <c r="I37" s="143"/>
      <c r="J37" s="143"/>
    </row>
    <row r="38" spans="2:10" ht="18.75" customHeight="1" x14ac:dyDescent="0.25">
      <c r="B38" s="143" t="s">
        <v>384</v>
      </c>
      <c r="C38" s="143"/>
      <c r="D38" s="143"/>
      <c r="E38" s="143" t="s">
        <v>390</v>
      </c>
      <c r="F38" s="143" t="s">
        <v>417</v>
      </c>
      <c r="G38" s="143"/>
      <c r="H38" s="143"/>
      <c r="I38" s="143"/>
      <c r="J38" s="143"/>
    </row>
    <row r="39" spans="2:10" ht="33.75" customHeight="1" x14ac:dyDescent="0.25">
      <c r="B39" s="143" t="s">
        <v>385</v>
      </c>
      <c r="C39" s="143"/>
      <c r="D39" s="143"/>
      <c r="E39" s="143" t="s">
        <v>390</v>
      </c>
      <c r="F39" s="254" t="s">
        <v>492</v>
      </c>
      <c r="G39" s="254"/>
      <c r="H39" s="254"/>
      <c r="I39" s="254"/>
      <c r="J39" s="254"/>
    </row>
    <row r="40" spans="2:10" ht="18.75" customHeight="1" x14ac:dyDescent="0.25">
      <c r="B40" s="143" t="s">
        <v>386</v>
      </c>
      <c r="C40" s="143"/>
      <c r="D40" s="143"/>
      <c r="E40" s="143" t="s">
        <v>390</v>
      </c>
      <c r="F40" s="143" t="s">
        <v>418</v>
      </c>
      <c r="G40" s="143"/>
      <c r="H40" s="143"/>
      <c r="I40" s="143"/>
      <c r="J40" s="143"/>
    </row>
    <row r="41" spans="2:10" ht="33.75" customHeight="1" x14ac:dyDescent="0.25">
      <c r="B41" s="144" t="s">
        <v>391</v>
      </c>
      <c r="C41" s="144"/>
      <c r="D41" s="144"/>
      <c r="E41" s="154" t="s">
        <v>424</v>
      </c>
      <c r="F41" s="144" t="s">
        <v>425</v>
      </c>
      <c r="G41" s="144"/>
      <c r="H41" s="144"/>
      <c r="I41" s="144"/>
      <c r="J41" s="144"/>
    </row>
    <row r="42" spans="2:10" ht="18.75" customHeight="1" x14ac:dyDescent="0.25">
      <c r="B42" s="145" t="s">
        <v>392</v>
      </c>
      <c r="C42" s="145"/>
      <c r="D42" s="145"/>
      <c r="E42" s="145" t="s">
        <v>387</v>
      </c>
      <c r="F42" s="145" t="s">
        <v>494</v>
      </c>
      <c r="G42" s="145"/>
      <c r="H42" s="145"/>
      <c r="I42" s="145"/>
      <c r="J42" s="145"/>
    </row>
    <row r="43" spans="2:10" ht="33.75" customHeight="1" x14ac:dyDescent="0.25">
      <c r="B43" s="146" t="s">
        <v>393</v>
      </c>
      <c r="C43" s="146"/>
      <c r="D43" s="146"/>
      <c r="E43" s="177" t="s">
        <v>436</v>
      </c>
      <c r="F43" s="146" t="s">
        <v>489</v>
      </c>
      <c r="G43" s="146"/>
      <c r="H43" s="146"/>
      <c r="I43" s="146"/>
      <c r="J43" s="146"/>
    </row>
  </sheetData>
  <sheetProtection password="D97B" sheet="1" objects="1" scenarios="1"/>
  <mergeCells count="6">
    <mergeCell ref="F39:J39"/>
    <mergeCell ref="C2:D2"/>
    <mergeCell ref="E2:F2"/>
    <mergeCell ref="G2:H2"/>
    <mergeCell ref="F25:J25"/>
    <mergeCell ref="F27:J27"/>
  </mergeCells>
  <phoneticPr fontId="4" type="noConversion"/>
  <pageMargins left="0.25" right="0.25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12</vt:i4>
      </vt:variant>
    </vt:vector>
  </HeadingPairs>
  <TitlesOfParts>
    <vt:vector size="23" baseType="lpstr">
      <vt:lpstr>Scenáre</vt:lpstr>
      <vt:lpstr>Grafikon</vt:lpstr>
      <vt:lpstr>Spoločnosť</vt:lpstr>
      <vt:lpstr>Súpravy</vt:lpstr>
      <vt:lpstr>Pracovné II</vt:lpstr>
      <vt:lpstr>Pracovné III</vt:lpstr>
      <vt:lpstr>Víkend II</vt:lpstr>
      <vt:lpstr>Víkend III</vt:lpstr>
      <vt:lpstr>Cenová Ponuka II+III</vt:lpstr>
      <vt:lpstr>Vyhodnotenie II+III</vt:lpstr>
      <vt:lpstr>Ocenenie</vt:lpstr>
      <vt:lpstr>'Pracovné II'!Názvy_tlače</vt:lpstr>
      <vt:lpstr>'Pracovné III'!Názvy_tlače</vt:lpstr>
      <vt:lpstr>Súpravy!Názvy_tlače</vt:lpstr>
      <vt:lpstr>'Víkend II'!Názvy_tlače</vt:lpstr>
      <vt:lpstr>'Víkend III'!Názvy_tlače</vt:lpstr>
      <vt:lpstr>'Cenová Ponuka II+III'!Oblasť_tlače</vt:lpstr>
      <vt:lpstr>'Pracovné II'!Oblasť_tlače</vt:lpstr>
      <vt:lpstr>'Pracovné III'!Oblasť_tlače</vt:lpstr>
      <vt:lpstr>Súpravy!Oblasť_tlače</vt:lpstr>
      <vt:lpstr>'Víkend II'!Oblasť_tlače</vt:lpstr>
      <vt:lpstr>'Víkend III'!Oblasť_tlače</vt:lpstr>
      <vt:lpstr>'Vyhodnotenie II+III'!Oblasť_tlače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</dc:creator>
  <cp:lastModifiedBy>PL</cp:lastModifiedBy>
  <cp:lastPrinted>2022-02-01T00:36:26Z</cp:lastPrinted>
  <dcterms:created xsi:type="dcterms:W3CDTF">2021-11-21T00:21:08Z</dcterms:created>
  <dcterms:modified xsi:type="dcterms:W3CDTF">2022-04-25T19:17:53Z</dcterms:modified>
</cp:coreProperties>
</file>